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fphi\repos\Panel-Charts-for-Excel-via-Claude-Skill\panel-charts\references\examples\"/>
    </mc:Choice>
  </mc:AlternateContent>
  <xr:revisionPtr revIDLastSave="0" documentId="8_{4CAB8244-1D8A-4C9C-87CD-526ADC29460E}" xr6:coauthVersionLast="47" xr6:coauthVersionMax="47" xr10:uidLastSave="{00000000-0000-0000-0000-000000000000}"/>
  <bookViews>
    <workbookView xWindow="-110" yWindow="-110" windowWidth="38620" windowHeight="21100" xr2:uid="{9F7599DE-F5BA-4963-83FB-B0FFF7FFA040}"/>
  </bookViews>
  <sheets>
    <sheet name="Line" sheetId="1" r:id="rId1"/>
    <sheet name="Column" sheetId="2" r:id="rId2"/>
    <sheet name="Area" sheetId="3" r:id="rId3"/>
    <sheet name="Bar" sheetId="4" r:id="rId4"/>
    <sheet name="Pin" sheetId="5" r:id="rId5"/>
    <sheet name="Dot" sheetId="6" r:id="rId6"/>
  </sheets>
  <definedNames>
    <definedName name="_xlnm.Print_Area" localSheetId="2">Area!$A$98:$N$132</definedName>
    <definedName name="_xlnm.Print_Area" localSheetId="3">Bar!$A$56:$N$90</definedName>
    <definedName name="_xlnm.Print_Area" localSheetId="1">Column!$A$80:$N$114</definedName>
    <definedName name="_xlnm.Print_Area" localSheetId="5">Dot!$A$67:$N$101</definedName>
    <definedName name="_xlnm.Print_Area" localSheetId="0">Line!$A$80:$N$114</definedName>
    <definedName name="_xlnm.Print_Area" localSheetId="4">Pin!$A$67:$N$101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A24" i="6" l="1"/>
  <c r="CA25" i="6"/>
  <c r="CA26" i="6"/>
  <c r="CA27" i="6"/>
  <c r="CA28" i="6"/>
  <c r="CA29" i="6"/>
  <c r="CA30" i="6"/>
  <c r="CA31" i="6"/>
  <c r="CA32" i="6"/>
  <c r="CA33" i="6"/>
  <c r="CA34" i="6"/>
  <c r="CA35" i="6"/>
  <c r="CA36" i="6"/>
  <c r="CA37" i="6"/>
  <c r="CA38" i="6"/>
  <c r="CA39" i="6"/>
  <c r="CA40" i="6"/>
  <c r="CA41" i="6"/>
  <c r="BZ24" i="6"/>
  <c r="BZ25" i="6"/>
  <c r="BZ26" i="6"/>
  <c r="BZ27" i="6"/>
  <c r="BZ28" i="6"/>
  <c r="BZ29" i="6"/>
  <c r="BZ30" i="6"/>
  <c r="BZ31" i="6"/>
  <c r="BZ32" i="6"/>
  <c r="BZ33" i="6"/>
  <c r="BZ34" i="6"/>
  <c r="BZ35" i="6"/>
  <c r="BZ36" i="6"/>
  <c r="BZ37" i="6"/>
  <c r="BZ38" i="6"/>
  <c r="BZ39" i="6"/>
  <c r="BZ40" i="6"/>
  <c r="BZ41" i="6"/>
  <c r="BW24" i="6"/>
  <c r="BW25" i="6"/>
  <c r="BW26" i="6"/>
  <c r="BW27" i="6"/>
  <c r="BW28" i="6"/>
  <c r="BW29" i="6"/>
  <c r="BW30" i="6"/>
  <c r="BW31" i="6"/>
  <c r="BW32" i="6"/>
  <c r="BW33" i="6"/>
  <c r="BW34" i="6"/>
  <c r="BW35" i="6"/>
  <c r="BW36" i="6"/>
  <c r="BW37" i="6"/>
  <c r="BW38" i="6"/>
  <c r="BW39" i="6"/>
  <c r="BW40" i="6"/>
  <c r="BW41" i="6"/>
  <c r="BV24" i="6"/>
  <c r="BV25" i="6"/>
  <c r="BV26" i="6"/>
  <c r="BV27" i="6"/>
  <c r="BV28" i="6"/>
  <c r="BV29" i="6"/>
  <c r="BV30" i="6"/>
  <c r="BV31" i="6"/>
  <c r="BV32" i="6"/>
  <c r="BV33" i="6"/>
  <c r="BV34" i="6"/>
  <c r="BV35" i="6"/>
  <c r="BV36" i="6"/>
  <c r="BV37" i="6"/>
  <c r="BV38" i="6"/>
  <c r="BV39" i="6"/>
  <c r="BV40" i="6"/>
  <c r="BV41" i="6"/>
  <c r="BS24" i="6"/>
  <c r="BS25" i="6"/>
  <c r="BS26" i="6"/>
  <c r="BS27" i="6"/>
  <c r="BS28" i="6"/>
  <c r="BS29" i="6"/>
  <c r="BS30" i="6"/>
  <c r="BS31" i="6"/>
  <c r="BS32" i="6"/>
  <c r="BS33" i="6"/>
  <c r="BS34" i="6"/>
  <c r="BS35" i="6"/>
  <c r="BS36" i="6"/>
  <c r="BS37" i="6"/>
  <c r="BS38" i="6"/>
  <c r="BS39" i="6"/>
  <c r="BS40" i="6"/>
  <c r="BS41" i="6"/>
  <c r="BS42" i="6"/>
  <c r="BS43" i="6"/>
  <c r="BS44" i="6"/>
  <c r="BS45" i="6"/>
  <c r="BS46" i="6"/>
  <c r="BS47" i="6"/>
  <c r="BS48" i="6"/>
  <c r="BS49" i="6"/>
  <c r="BS50" i="6"/>
  <c r="BS51" i="6"/>
  <c r="BS52" i="6"/>
  <c r="BS53" i="6"/>
  <c r="BS54" i="6"/>
  <c r="BS55" i="6"/>
  <c r="BS56" i="6"/>
  <c r="BS57" i="6"/>
  <c r="BS58" i="6"/>
  <c r="BS59" i="6"/>
  <c r="BS60" i="6"/>
  <c r="BS61" i="6"/>
  <c r="BS62" i="6"/>
  <c r="BS63" i="6"/>
  <c r="BS64" i="6"/>
  <c r="BS65" i="6"/>
  <c r="BS66" i="6"/>
  <c r="BS67" i="6"/>
  <c r="BS68" i="6"/>
  <c r="BS69" i="6"/>
  <c r="BS70" i="6"/>
  <c r="BS71" i="6"/>
  <c r="BS72" i="6"/>
  <c r="BS73" i="6"/>
  <c r="BS74" i="6"/>
  <c r="BS75" i="6"/>
  <c r="BS76" i="6"/>
  <c r="BS77" i="6"/>
  <c r="BP26" i="6"/>
  <c r="BP29" i="6"/>
  <c r="BP32" i="6"/>
  <c r="BP35" i="6"/>
  <c r="BP38" i="6"/>
  <c r="BM26" i="6"/>
  <c r="BM29" i="6"/>
  <c r="BJ24" i="6"/>
  <c r="BJ25" i="6"/>
  <c r="BJ26" i="6"/>
  <c r="BJ27" i="6"/>
  <c r="BJ28" i="6"/>
  <c r="BJ29" i="6"/>
  <c r="BJ30" i="6"/>
  <c r="BJ31" i="6"/>
  <c r="BJ32" i="6"/>
  <c r="BJ33" i="6"/>
  <c r="BJ34" i="6"/>
  <c r="BJ35" i="6"/>
  <c r="BJ36" i="6"/>
  <c r="BJ37" i="6"/>
  <c r="BJ38" i="6"/>
  <c r="BJ39" i="6"/>
  <c r="BJ40" i="6"/>
  <c r="BJ41" i="6"/>
  <c r="BJ42" i="6"/>
  <c r="BJ43" i="6"/>
  <c r="BJ44" i="6"/>
  <c r="BJ45" i="6"/>
  <c r="BJ46" i="6"/>
  <c r="BJ47" i="6"/>
  <c r="BJ48" i="6"/>
  <c r="BJ49" i="6"/>
  <c r="BJ50" i="6"/>
  <c r="BJ51" i="6"/>
  <c r="BJ52" i="6"/>
  <c r="BJ53" i="6"/>
  <c r="BJ54" i="6"/>
  <c r="BJ55" i="6"/>
  <c r="BJ56" i="6"/>
  <c r="BJ57" i="6"/>
  <c r="BJ58" i="6"/>
  <c r="BJ59" i="6"/>
  <c r="BJ60" i="6"/>
  <c r="BJ61" i="6"/>
  <c r="BJ62" i="6"/>
  <c r="BJ63" i="6"/>
  <c r="BJ64" i="6"/>
  <c r="AW24" i="6"/>
  <c r="AW25" i="6"/>
  <c r="AW26" i="6"/>
  <c r="AW27" i="6"/>
  <c r="AW28" i="6"/>
  <c r="AW29" i="6"/>
  <c r="AW30" i="6"/>
  <c r="AW31" i="6"/>
  <c r="AW32" i="6"/>
  <c r="AW33" i="6"/>
  <c r="AW34" i="6"/>
  <c r="AW35" i="6"/>
  <c r="AW36" i="6"/>
  <c r="AW37" i="6"/>
  <c r="AW38" i="6"/>
  <c r="AW39" i="6"/>
  <c r="AW40" i="6"/>
  <c r="AW41" i="6"/>
  <c r="AW42" i="6"/>
  <c r="AW43" i="6"/>
  <c r="AW44" i="6"/>
  <c r="AW45" i="6"/>
  <c r="AW46" i="6"/>
  <c r="AW47" i="6"/>
  <c r="AW48" i="6"/>
  <c r="AW49" i="6"/>
  <c r="AW50" i="6"/>
  <c r="AW51" i="6"/>
  <c r="AW52" i="6"/>
  <c r="AW53" i="6"/>
  <c r="AW54" i="6"/>
  <c r="AW55" i="6"/>
  <c r="AW56" i="6"/>
  <c r="AW57" i="6"/>
  <c r="AW58" i="6"/>
  <c r="AW59" i="6"/>
  <c r="AW60" i="6"/>
  <c r="AW61" i="6"/>
  <c r="AW62" i="6"/>
  <c r="AW63" i="6"/>
  <c r="AW64" i="6"/>
  <c r="BI24" i="6"/>
  <c r="BI25" i="6"/>
  <c r="BI26" i="6"/>
  <c r="BI27" i="6"/>
  <c r="BI28" i="6"/>
  <c r="BI29" i="6"/>
  <c r="BI30" i="6"/>
  <c r="BI31" i="6"/>
  <c r="BI32" i="6"/>
  <c r="BI33" i="6"/>
  <c r="BI34" i="6"/>
  <c r="BI35" i="6"/>
  <c r="BI36" i="6"/>
  <c r="BI37" i="6"/>
  <c r="BI38" i="6"/>
  <c r="BI39" i="6"/>
  <c r="BI40" i="6"/>
  <c r="BI41" i="6"/>
  <c r="BI42" i="6"/>
  <c r="BI43" i="6"/>
  <c r="BI44" i="6"/>
  <c r="BI45" i="6"/>
  <c r="BI46" i="6"/>
  <c r="BI47" i="6"/>
  <c r="BI48" i="6"/>
  <c r="BI49" i="6"/>
  <c r="BI50" i="6"/>
  <c r="BI51" i="6"/>
  <c r="BI52" i="6"/>
  <c r="BI53" i="6"/>
  <c r="BI54" i="6"/>
  <c r="BI55" i="6"/>
  <c r="BI56" i="6"/>
  <c r="BI57" i="6"/>
  <c r="BI58" i="6"/>
  <c r="BI59" i="6"/>
  <c r="BI60" i="6"/>
  <c r="BI61" i="6"/>
  <c r="BI62" i="6"/>
  <c r="BI63" i="6"/>
  <c r="BI64" i="6"/>
  <c r="AV24" i="6"/>
  <c r="AV25" i="6"/>
  <c r="AV26" i="6"/>
  <c r="AV27" i="6"/>
  <c r="AV28" i="6"/>
  <c r="AV29" i="6"/>
  <c r="AV30" i="6"/>
  <c r="AV31" i="6"/>
  <c r="AV32" i="6"/>
  <c r="AV33" i="6"/>
  <c r="AV34" i="6"/>
  <c r="AV35" i="6"/>
  <c r="AV36" i="6"/>
  <c r="AV37" i="6"/>
  <c r="AV38" i="6"/>
  <c r="AV39" i="6"/>
  <c r="AV40" i="6"/>
  <c r="AV41" i="6"/>
  <c r="AV42" i="6"/>
  <c r="AV43" i="6"/>
  <c r="AV44" i="6"/>
  <c r="AV45" i="6"/>
  <c r="AV46" i="6"/>
  <c r="AV47" i="6"/>
  <c r="AV48" i="6"/>
  <c r="AV49" i="6"/>
  <c r="AV50" i="6"/>
  <c r="AV51" i="6"/>
  <c r="AV52" i="6"/>
  <c r="AV53" i="6"/>
  <c r="AV54" i="6"/>
  <c r="AV55" i="6"/>
  <c r="AV56" i="6"/>
  <c r="AV57" i="6"/>
  <c r="AV58" i="6"/>
  <c r="AV59" i="6"/>
  <c r="AV60" i="6"/>
  <c r="AV61" i="6"/>
  <c r="AV62" i="6"/>
  <c r="AV63" i="6"/>
  <c r="AV64" i="6"/>
  <c r="BH24" i="6"/>
  <c r="BH25" i="6"/>
  <c r="BH26" i="6"/>
  <c r="BH27" i="6"/>
  <c r="BH28" i="6"/>
  <c r="BH29" i="6"/>
  <c r="BH30" i="6"/>
  <c r="BH31" i="6"/>
  <c r="BH32" i="6"/>
  <c r="BH33" i="6"/>
  <c r="BH34" i="6"/>
  <c r="BH35" i="6"/>
  <c r="BH36" i="6"/>
  <c r="BH37" i="6"/>
  <c r="BH38" i="6"/>
  <c r="BH39" i="6"/>
  <c r="BH40" i="6"/>
  <c r="BH41" i="6"/>
  <c r="BH42" i="6"/>
  <c r="BH43" i="6"/>
  <c r="BH44" i="6"/>
  <c r="BH45" i="6"/>
  <c r="BH46" i="6"/>
  <c r="BH47" i="6"/>
  <c r="BH48" i="6"/>
  <c r="BH49" i="6"/>
  <c r="BH50" i="6"/>
  <c r="BH51" i="6"/>
  <c r="BH52" i="6"/>
  <c r="BH53" i="6"/>
  <c r="BH54" i="6"/>
  <c r="BH55" i="6"/>
  <c r="BH56" i="6"/>
  <c r="BH57" i="6"/>
  <c r="BH58" i="6"/>
  <c r="BH59" i="6"/>
  <c r="BH60" i="6"/>
  <c r="BH61" i="6"/>
  <c r="BH62" i="6"/>
  <c r="BH63" i="6"/>
  <c r="BH64" i="6"/>
  <c r="AU24" i="6"/>
  <c r="AU25" i="6"/>
  <c r="AU26" i="6"/>
  <c r="AU27" i="6"/>
  <c r="AU28" i="6"/>
  <c r="AU29" i="6"/>
  <c r="AU30" i="6"/>
  <c r="AU31" i="6"/>
  <c r="AU32" i="6"/>
  <c r="AU33" i="6"/>
  <c r="AU34" i="6"/>
  <c r="AU35" i="6"/>
  <c r="AU36" i="6"/>
  <c r="AU37" i="6"/>
  <c r="AU38" i="6"/>
  <c r="AU39" i="6"/>
  <c r="AU40" i="6"/>
  <c r="AU41" i="6"/>
  <c r="AU42" i="6"/>
  <c r="AU43" i="6"/>
  <c r="AU44" i="6"/>
  <c r="AU45" i="6"/>
  <c r="AU46" i="6"/>
  <c r="AU47" i="6"/>
  <c r="AU48" i="6"/>
  <c r="AU49" i="6"/>
  <c r="AU50" i="6"/>
  <c r="AU51" i="6"/>
  <c r="AU52" i="6"/>
  <c r="AU53" i="6"/>
  <c r="AU54" i="6"/>
  <c r="AU55" i="6"/>
  <c r="AU56" i="6"/>
  <c r="AU57" i="6"/>
  <c r="AU58" i="6"/>
  <c r="AU59" i="6"/>
  <c r="AU60" i="6"/>
  <c r="AU61" i="6"/>
  <c r="AU62" i="6"/>
  <c r="AU63" i="6"/>
  <c r="AU64" i="6"/>
  <c r="BG24" i="6"/>
  <c r="BG25" i="6"/>
  <c r="BG26" i="6"/>
  <c r="BG27" i="6"/>
  <c r="BG28" i="6"/>
  <c r="BG29" i="6"/>
  <c r="BG30" i="6"/>
  <c r="BG31" i="6"/>
  <c r="BG32" i="6"/>
  <c r="BG33" i="6"/>
  <c r="BG34" i="6"/>
  <c r="BG35" i="6"/>
  <c r="BG36" i="6"/>
  <c r="BG37" i="6"/>
  <c r="BG38" i="6"/>
  <c r="BG39" i="6"/>
  <c r="BG40" i="6"/>
  <c r="BG41" i="6"/>
  <c r="BG42" i="6"/>
  <c r="BG43" i="6"/>
  <c r="BG44" i="6"/>
  <c r="BG45" i="6"/>
  <c r="BG46" i="6"/>
  <c r="BG47" i="6"/>
  <c r="BG48" i="6"/>
  <c r="BG49" i="6"/>
  <c r="BG50" i="6"/>
  <c r="BG51" i="6"/>
  <c r="BG52" i="6"/>
  <c r="BG53" i="6"/>
  <c r="BG54" i="6"/>
  <c r="BG55" i="6"/>
  <c r="BG56" i="6"/>
  <c r="BG57" i="6"/>
  <c r="BG58" i="6"/>
  <c r="BG59" i="6"/>
  <c r="BG60" i="6"/>
  <c r="BG61" i="6"/>
  <c r="BG62" i="6"/>
  <c r="BG63" i="6"/>
  <c r="BG64" i="6"/>
  <c r="AT24" i="6"/>
  <c r="AT25" i="6"/>
  <c r="AT26" i="6"/>
  <c r="AT27" i="6"/>
  <c r="AT28" i="6"/>
  <c r="AT29" i="6"/>
  <c r="AT30" i="6"/>
  <c r="AT31" i="6"/>
  <c r="AT32" i="6"/>
  <c r="AT33" i="6"/>
  <c r="AT34" i="6"/>
  <c r="AT35" i="6"/>
  <c r="AT36" i="6"/>
  <c r="AT37" i="6"/>
  <c r="AT38" i="6"/>
  <c r="AT39" i="6"/>
  <c r="AT40" i="6"/>
  <c r="AT41" i="6"/>
  <c r="AT42" i="6"/>
  <c r="AT43" i="6"/>
  <c r="AT44" i="6"/>
  <c r="AT45" i="6"/>
  <c r="AT46" i="6"/>
  <c r="AT47" i="6"/>
  <c r="AT48" i="6"/>
  <c r="AT49" i="6"/>
  <c r="AT50" i="6"/>
  <c r="AT51" i="6"/>
  <c r="AT52" i="6"/>
  <c r="AT53" i="6"/>
  <c r="AT54" i="6"/>
  <c r="AT55" i="6"/>
  <c r="AT56" i="6"/>
  <c r="AT57" i="6"/>
  <c r="AT58" i="6"/>
  <c r="AT59" i="6"/>
  <c r="AT60" i="6"/>
  <c r="AT61" i="6"/>
  <c r="AT62" i="6"/>
  <c r="AT63" i="6"/>
  <c r="AT64" i="6"/>
  <c r="BF24" i="6"/>
  <c r="BF25" i="6"/>
  <c r="BF26" i="6"/>
  <c r="BF27" i="6"/>
  <c r="BF28" i="6"/>
  <c r="BF29" i="6"/>
  <c r="BF30" i="6"/>
  <c r="BF31" i="6"/>
  <c r="BF32" i="6"/>
  <c r="BF33" i="6"/>
  <c r="BF34" i="6"/>
  <c r="BF35" i="6"/>
  <c r="BF36" i="6"/>
  <c r="BF37" i="6"/>
  <c r="BF38" i="6"/>
  <c r="BF39" i="6"/>
  <c r="BF40" i="6"/>
  <c r="BF41" i="6"/>
  <c r="BF42" i="6"/>
  <c r="BF43" i="6"/>
  <c r="BF44" i="6"/>
  <c r="BF45" i="6"/>
  <c r="BF46" i="6"/>
  <c r="BF47" i="6"/>
  <c r="BF48" i="6"/>
  <c r="BF49" i="6"/>
  <c r="BF50" i="6"/>
  <c r="BF51" i="6"/>
  <c r="BF52" i="6"/>
  <c r="BF53" i="6"/>
  <c r="BF54" i="6"/>
  <c r="BF55" i="6"/>
  <c r="BF56" i="6"/>
  <c r="BF57" i="6"/>
  <c r="BF58" i="6"/>
  <c r="BF59" i="6"/>
  <c r="BF60" i="6"/>
  <c r="BF61" i="6"/>
  <c r="BF62" i="6"/>
  <c r="BF63" i="6"/>
  <c r="BF64" i="6"/>
  <c r="AS24" i="6"/>
  <c r="AS25" i="6"/>
  <c r="AS26" i="6"/>
  <c r="AS27" i="6"/>
  <c r="AS28" i="6"/>
  <c r="AS29" i="6"/>
  <c r="AS30" i="6"/>
  <c r="AS31" i="6"/>
  <c r="AS32" i="6"/>
  <c r="AS33" i="6"/>
  <c r="AS34" i="6"/>
  <c r="AS35" i="6"/>
  <c r="AS36" i="6"/>
  <c r="AS37" i="6"/>
  <c r="AS38" i="6"/>
  <c r="AS39" i="6"/>
  <c r="AS40" i="6"/>
  <c r="AS41" i="6"/>
  <c r="AS42" i="6"/>
  <c r="AS43" i="6"/>
  <c r="AS44" i="6"/>
  <c r="AS45" i="6"/>
  <c r="AS46" i="6"/>
  <c r="AS47" i="6"/>
  <c r="AS48" i="6"/>
  <c r="AS49" i="6"/>
  <c r="AS50" i="6"/>
  <c r="AS51" i="6"/>
  <c r="AS52" i="6"/>
  <c r="AS53" i="6"/>
  <c r="AS54" i="6"/>
  <c r="AS55" i="6"/>
  <c r="AS56" i="6"/>
  <c r="AS57" i="6"/>
  <c r="AS58" i="6"/>
  <c r="AS59" i="6"/>
  <c r="AS60" i="6"/>
  <c r="AS61" i="6"/>
  <c r="AS62" i="6"/>
  <c r="AS63" i="6"/>
  <c r="AS64" i="6"/>
  <c r="BE24" i="6"/>
  <c r="BE25" i="6"/>
  <c r="BE26" i="6"/>
  <c r="BE27" i="6"/>
  <c r="BE28" i="6"/>
  <c r="BE29" i="6"/>
  <c r="BE30" i="6"/>
  <c r="BE31" i="6"/>
  <c r="BE32" i="6"/>
  <c r="BE33" i="6"/>
  <c r="BE34" i="6"/>
  <c r="BE35" i="6"/>
  <c r="BE36" i="6"/>
  <c r="BE37" i="6"/>
  <c r="BE38" i="6"/>
  <c r="BE39" i="6"/>
  <c r="BE40" i="6"/>
  <c r="BE41" i="6"/>
  <c r="BE42" i="6"/>
  <c r="BE43" i="6"/>
  <c r="BE44" i="6"/>
  <c r="BE45" i="6"/>
  <c r="BE46" i="6"/>
  <c r="BE47" i="6"/>
  <c r="BE48" i="6"/>
  <c r="BE49" i="6"/>
  <c r="BE50" i="6"/>
  <c r="BE51" i="6"/>
  <c r="BE52" i="6"/>
  <c r="BE53" i="6"/>
  <c r="BE54" i="6"/>
  <c r="BE55" i="6"/>
  <c r="BE56" i="6"/>
  <c r="BE57" i="6"/>
  <c r="BE58" i="6"/>
  <c r="BE59" i="6"/>
  <c r="BE60" i="6"/>
  <c r="BE61" i="6"/>
  <c r="BE62" i="6"/>
  <c r="BE63" i="6"/>
  <c r="BE64" i="6"/>
  <c r="AR24" i="6"/>
  <c r="AR25" i="6"/>
  <c r="AR26" i="6"/>
  <c r="AR27" i="6"/>
  <c r="AR28" i="6"/>
  <c r="AR29" i="6"/>
  <c r="AR30" i="6"/>
  <c r="AR31" i="6"/>
  <c r="AR32" i="6"/>
  <c r="AR33" i="6"/>
  <c r="AR34" i="6"/>
  <c r="AR35" i="6"/>
  <c r="AR36" i="6"/>
  <c r="AR37" i="6"/>
  <c r="AR38" i="6"/>
  <c r="AR39" i="6"/>
  <c r="AR40" i="6"/>
  <c r="AR41" i="6"/>
  <c r="AR42" i="6"/>
  <c r="AR43" i="6"/>
  <c r="AR44" i="6"/>
  <c r="AR45" i="6"/>
  <c r="AR46" i="6"/>
  <c r="AR47" i="6"/>
  <c r="AR48" i="6"/>
  <c r="AR49" i="6"/>
  <c r="AR50" i="6"/>
  <c r="AR51" i="6"/>
  <c r="AR52" i="6"/>
  <c r="AR53" i="6"/>
  <c r="AR54" i="6"/>
  <c r="AR55" i="6"/>
  <c r="AR56" i="6"/>
  <c r="AR57" i="6"/>
  <c r="AR58" i="6"/>
  <c r="AR59" i="6"/>
  <c r="AR60" i="6"/>
  <c r="AR61" i="6"/>
  <c r="AR62" i="6"/>
  <c r="AR63" i="6"/>
  <c r="AR64" i="6"/>
  <c r="BD24" i="6"/>
  <c r="BD25" i="6"/>
  <c r="BD26" i="6"/>
  <c r="BD27" i="6"/>
  <c r="BD28" i="6"/>
  <c r="BD29" i="6"/>
  <c r="BD30" i="6"/>
  <c r="BD31" i="6"/>
  <c r="BD32" i="6"/>
  <c r="BD33" i="6"/>
  <c r="BD34" i="6"/>
  <c r="BD35" i="6"/>
  <c r="BD36" i="6"/>
  <c r="BD37" i="6"/>
  <c r="BD38" i="6"/>
  <c r="BD39" i="6"/>
  <c r="BD40" i="6"/>
  <c r="BD41" i="6"/>
  <c r="BD42" i="6"/>
  <c r="BD43" i="6"/>
  <c r="BD44" i="6"/>
  <c r="BD45" i="6"/>
  <c r="BD46" i="6"/>
  <c r="BD47" i="6"/>
  <c r="BD48" i="6"/>
  <c r="BD49" i="6"/>
  <c r="BD50" i="6"/>
  <c r="BD51" i="6"/>
  <c r="BD52" i="6"/>
  <c r="BD53" i="6"/>
  <c r="BD54" i="6"/>
  <c r="BD55" i="6"/>
  <c r="BD56" i="6"/>
  <c r="BD57" i="6"/>
  <c r="BD58" i="6"/>
  <c r="BD59" i="6"/>
  <c r="BD60" i="6"/>
  <c r="BD61" i="6"/>
  <c r="BD62" i="6"/>
  <c r="BD63" i="6"/>
  <c r="BD64" i="6"/>
  <c r="AQ24" i="6"/>
  <c r="AQ25" i="6"/>
  <c r="AQ26" i="6"/>
  <c r="AQ27" i="6"/>
  <c r="AQ28" i="6"/>
  <c r="AQ29" i="6"/>
  <c r="AQ30" i="6"/>
  <c r="AQ31" i="6"/>
  <c r="AQ32" i="6"/>
  <c r="AQ33" i="6"/>
  <c r="AQ34" i="6"/>
  <c r="AQ35" i="6"/>
  <c r="AQ36" i="6"/>
  <c r="AQ37" i="6"/>
  <c r="AQ38" i="6"/>
  <c r="AQ39" i="6"/>
  <c r="AQ40" i="6"/>
  <c r="AQ41" i="6"/>
  <c r="AQ42" i="6"/>
  <c r="AQ43" i="6"/>
  <c r="AQ44" i="6"/>
  <c r="AQ45" i="6"/>
  <c r="AQ46" i="6"/>
  <c r="AQ47" i="6"/>
  <c r="AQ48" i="6"/>
  <c r="AQ49" i="6"/>
  <c r="AQ50" i="6"/>
  <c r="AQ51" i="6"/>
  <c r="AQ52" i="6"/>
  <c r="AQ53" i="6"/>
  <c r="AQ54" i="6"/>
  <c r="AQ55" i="6"/>
  <c r="AQ56" i="6"/>
  <c r="AQ57" i="6"/>
  <c r="AQ58" i="6"/>
  <c r="AQ59" i="6"/>
  <c r="AQ60" i="6"/>
  <c r="AQ61" i="6"/>
  <c r="AQ62" i="6"/>
  <c r="AQ63" i="6"/>
  <c r="AQ64" i="6"/>
  <c r="BC24" i="6"/>
  <c r="BC25" i="6"/>
  <c r="BC26" i="6"/>
  <c r="BC27" i="6"/>
  <c r="BC28" i="6"/>
  <c r="BC29" i="6"/>
  <c r="BC30" i="6"/>
  <c r="BC31" i="6"/>
  <c r="BC32" i="6"/>
  <c r="BC33" i="6"/>
  <c r="BC34" i="6"/>
  <c r="BC35" i="6"/>
  <c r="BC36" i="6"/>
  <c r="BC37" i="6"/>
  <c r="BC38" i="6"/>
  <c r="BC39" i="6"/>
  <c r="BC40" i="6"/>
  <c r="BC41" i="6"/>
  <c r="BC42" i="6"/>
  <c r="BC43" i="6"/>
  <c r="BC44" i="6"/>
  <c r="BC45" i="6"/>
  <c r="BC46" i="6"/>
  <c r="BC47" i="6"/>
  <c r="BC48" i="6"/>
  <c r="BC49" i="6"/>
  <c r="BC50" i="6"/>
  <c r="BC51" i="6"/>
  <c r="BC52" i="6"/>
  <c r="BC53" i="6"/>
  <c r="BC54" i="6"/>
  <c r="BC55" i="6"/>
  <c r="BC56" i="6"/>
  <c r="BC57" i="6"/>
  <c r="BC58" i="6"/>
  <c r="BC59" i="6"/>
  <c r="BC60" i="6"/>
  <c r="BC61" i="6"/>
  <c r="BC62" i="6"/>
  <c r="BC63" i="6"/>
  <c r="BC64" i="6"/>
  <c r="AP24" i="6"/>
  <c r="AP25" i="6"/>
  <c r="AP26" i="6"/>
  <c r="AP27" i="6"/>
  <c r="AP28" i="6"/>
  <c r="AP29" i="6"/>
  <c r="AP30" i="6"/>
  <c r="AP31" i="6"/>
  <c r="AP32" i="6"/>
  <c r="AP33" i="6"/>
  <c r="AP34" i="6"/>
  <c r="AP35" i="6"/>
  <c r="AP36" i="6"/>
  <c r="AP37" i="6"/>
  <c r="AP38" i="6"/>
  <c r="AP39" i="6"/>
  <c r="AP40" i="6"/>
  <c r="AP41" i="6"/>
  <c r="AP42" i="6"/>
  <c r="AP43" i="6"/>
  <c r="AP44" i="6"/>
  <c r="AP45" i="6"/>
  <c r="AP46" i="6"/>
  <c r="AP47" i="6"/>
  <c r="AP48" i="6"/>
  <c r="AP49" i="6"/>
  <c r="AP50" i="6"/>
  <c r="AP51" i="6"/>
  <c r="AP52" i="6"/>
  <c r="AP53" i="6"/>
  <c r="AP54" i="6"/>
  <c r="AP55" i="6"/>
  <c r="AP56" i="6"/>
  <c r="AP57" i="6"/>
  <c r="AP58" i="6"/>
  <c r="AP59" i="6"/>
  <c r="AP60" i="6"/>
  <c r="AP61" i="6"/>
  <c r="AP62" i="6"/>
  <c r="AP63" i="6"/>
  <c r="AP64" i="6"/>
  <c r="BB24" i="6"/>
  <c r="BB25" i="6"/>
  <c r="BB26" i="6"/>
  <c r="BB27" i="6"/>
  <c r="BB28" i="6"/>
  <c r="BB29" i="6"/>
  <c r="BB30" i="6"/>
  <c r="BB31" i="6"/>
  <c r="BB32" i="6"/>
  <c r="BB33" i="6"/>
  <c r="BB34" i="6"/>
  <c r="BB35" i="6"/>
  <c r="BB36" i="6"/>
  <c r="BB37" i="6"/>
  <c r="BB38" i="6"/>
  <c r="BB39" i="6"/>
  <c r="BB40" i="6"/>
  <c r="BB41" i="6"/>
  <c r="BB42" i="6"/>
  <c r="BB43" i="6"/>
  <c r="BB44" i="6"/>
  <c r="BB45" i="6"/>
  <c r="BB46" i="6"/>
  <c r="BB47" i="6"/>
  <c r="BB48" i="6"/>
  <c r="BB49" i="6"/>
  <c r="BB50" i="6"/>
  <c r="BB51" i="6"/>
  <c r="BB52" i="6"/>
  <c r="BB53" i="6"/>
  <c r="BB54" i="6"/>
  <c r="BB55" i="6"/>
  <c r="BB56" i="6"/>
  <c r="BB57" i="6"/>
  <c r="BB58" i="6"/>
  <c r="BB59" i="6"/>
  <c r="BB60" i="6"/>
  <c r="BB61" i="6"/>
  <c r="BB62" i="6"/>
  <c r="BB63" i="6"/>
  <c r="BB64" i="6"/>
  <c r="AO24" i="6"/>
  <c r="AO25" i="6"/>
  <c r="AO26" i="6"/>
  <c r="AO27" i="6"/>
  <c r="AO28" i="6"/>
  <c r="AO29" i="6"/>
  <c r="AO30" i="6"/>
  <c r="AO31" i="6"/>
  <c r="AO32" i="6"/>
  <c r="AO33" i="6"/>
  <c r="AO34" i="6"/>
  <c r="AO35" i="6"/>
  <c r="AO36" i="6"/>
  <c r="AO37" i="6"/>
  <c r="AO38" i="6"/>
  <c r="AO39" i="6"/>
  <c r="AO40" i="6"/>
  <c r="AO41" i="6"/>
  <c r="AO42" i="6"/>
  <c r="AO43" i="6"/>
  <c r="AO44" i="6"/>
  <c r="AO45" i="6"/>
  <c r="AO46" i="6"/>
  <c r="AO47" i="6"/>
  <c r="AO48" i="6"/>
  <c r="AO49" i="6"/>
  <c r="AO50" i="6"/>
  <c r="AO51" i="6"/>
  <c r="AO52" i="6"/>
  <c r="AO53" i="6"/>
  <c r="AO54" i="6"/>
  <c r="AO55" i="6"/>
  <c r="AO56" i="6"/>
  <c r="AO57" i="6"/>
  <c r="AO58" i="6"/>
  <c r="AO59" i="6"/>
  <c r="AO60" i="6"/>
  <c r="AO61" i="6"/>
  <c r="AO62" i="6"/>
  <c r="AO63" i="6"/>
  <c r="AO64" i="6"/>
  <c r="BA24" i="6"/>
  <c r="BA25" i="6"/>
  <c r="BA26" i="6"/>
  <c r="BA27" i="6"/>
  <c r="BA28" i="6"/>
  <c r="BA29" i="6"/>
  <c r="BA30" i="6"/>
  <c r="BA31" i="6"/>
  <c r="BA32" i="6"/>
  <c r="BA33" i="6"/>
  <c r="BA34" i="6"/>
  <c r="BA35" i="6"/>
  <c r="BA36" i="6"/>
  <c r="BA37" i="6"/>
  <c r="BA38" i="6"/>
  <c r="BA39" i="6"/>
  <c r="BA40" i="6"/>
  <c r="BA41" i="6"/>
  <c r="BA42" i="6"/>
  <c r="BA43" i="6"/>
  <c r="BA44" i="6"/>
  <c r="BA45" i="6"/>
  <c r="BA46" i="6"/>
  <c r="BA47" i="6"/>
  <c r="BA48" i="6"/>
  <c r="BA49" i="6"/>
  <c r="BA50" i="6"/>
  <c r="BA51" i="6"/>
  <c r="BA52" i="6"/>
  <c r="BA53" i="6"/>
  <c r="BA54" i="6"/>
  <c r="BA55" i="6"/>
  <c r="BA56" i="6"/>
  <c r="BA57" i="6"/>
  <c r="BA58" i="6"/>
  <c r="BA59" i="6"/>
  <c r="BA60" i="6"/>
  <c r="BA61" i="6"/>
  <c r="BA62" i="6"/>
  <c r="BA63" i="6"/>
  <c r="BA64" i="6"/>
  <c r="AN24" i="6"/>
  <c r="AN25" i="6"/>
  <c r="AN26" i="6"/>
  <c r="AN27" i="6"/>
  <c r="AN28" i="6"/>
  <c r="AN29" i="6"/>
  <c r="AN30" i="6"/>
  <c r="AN31" i="6"/>
  <c r="AN32" i="6"/>
  <c r="AN33" i="6"/>
  <c r="AN34" i="6"/>
  <c r="AN35" i="6"/>
  <c r="AN36" i="6"/>
  <c r="AN37" i="6"/>
  <c r="AN38" i="6"/>
  <c r="AN39" i="6"/>
  <c r="AN40" i="6"/>
  <c r="AN41" i="6"/>
  <c r="AN42" i="6"/>
  <c r="AN43" i="6"/>
  <c r="AN44" i="6"/>
  <c r="AN45" i="6"/>
  <c r="AN46" i="6"/>
  <c r="AN47" i="6"/>
  <c r="AN48" i="6"/>
  <c r="AN49" i="6"/>
  <c r="AN50" i="6"/>
  <c r="AN51" i="6"/>
  <c r="AN52" i="6"/>
  <c r="AN53" i="6"/>
  <c r="AN54" i="6"/>
  <c r="AN55" i="6"/>
  <c r="AN56" i="6"/>
  <c r="AN57" i="6"/>
  <c r="AN58" i="6"/>
  <c r="AN59" i="6"/>
  <c r="AN60" i="6"/>
  <c r="AN61" i="6"/>
  <c r="AN62" i="6"/>
  <c r="AN63" i="6"/>
  <c r="AN64" i="6"/>
  <c r="AZ24" i="6"/>
  <c r="AZ25" i="6"/>
  <c r="AZ26" i="6"/>
  <c r="AZ27" i="6"/>
  <c r="AZ28" i="6"/>
  <c r="AZ29" i="6"/>
  <c r="AZ30" i="6"/>
  <c r="AZ31" i="6"/>
  <c r="AZ32" i="6"/>
  <c r="AZ33" i="6"/>
  <c r="AZ34" i="6"/>
  <c r="AZ35" i="6"/>
  <c r="AZ36" i="6"/>
  <c r="AZ37" i="6"/>
  <c r="AZ38" i="6"/>
  <c r="AZ39" i="6"/>
  <c r="AZ40" i="6"/>
  <c r="AZ41" i="6"/>
  <c r="AZ42" i="6"/>
  <c r="AZ43" i="6"/>
  <c r="AZ44" i="6"/>
  <c r="AZ45" i="6"/>
  <c r="AZ46" i="6"/>
  <c r="AZ47" i="6"/>
  <c r="AZ48" i="6"/>
  <c r="AZ49" i="6"/>
  <c r="AZ50" i="6"/>
  <c r="AZ51" i="6"/>
  <c r="AZ52" i="6"/>
  <c r="AZ53" i="6"/>
  <c r="AZ54" i="6"/>
  <c r="AZ55" i="6"/>
  <c r="AZ56" i="6"/>
  <c r="AZ57" i="6"/>
  <c r="AZ58" i="6"/>
  <c r="AZ59" i="6"/>
  <c r="AZ60" i="6"/>
  <c r="AZ61" i="6"/>
  <c r="AZ62" i="6"/>
  <c r="AZ63" i="6"/>
  <c r="AZ64" i="6"/>
  <c r="AM24" i="6"/>
  <c r="AM25" i="6"/>
  <c r="AM26" i="6"/>
  <c r="AM27" i="6"/>
  <c r="AM28" i="6"/>
  <c r="AM29" i="6"/>
  <c r="AM30" i="6"/>
  <c r="AM31" i="6"/>
  <c r="AM32" i="6"/>
  <c r="AM33" i="6"/>
  <c r="AM34" i="6"/>
  <c r="AM35" i="6"/>
  <c r="AM36" i="6"/>
  <c r="AM37" i="6"/>
  <c r="AM38" i="6"/>
  <c r="AM39" i="6"/>
  <c r="AM40" i="6"/>
  <c r="AM41" i="6"/>
  <c r="AM42" i="6"/>
  <c r="AM43" i="6"/>
  <c r="AM44" i="6"/>
  <c r="AM45" i="6"/>
  <c r="AM46" i="6"/>
  <c r="AM47" i="6"/>
  <c r="AM48" i="6"/>
  <c r="AM49" i="6"/>
  <c r="AM50" i="6"/>
  <c r="AM51" i="6"/>
  <c r="AM52" i="6"/>
  <c r="AM53" i="6"/>
  <c r="AM54" i="6"/>
  <c r="AM55" i="6"/>
  <c r="AM56" i="6"/>
  <c r="AM57" i="6"/>
  <c r="AM58" i="6"/>
  <c r="AM59" i="6"/>
  <c r="AM60" i="6"/>
  <c r="AM61" i="6"/>
  <c r="AM62" i="6"/>
  <c r="AM63" i="6"/>
  <c r="AM64" i="6"/>
  <c r="AY24" i="6"/>
  <c r="AY25" i="6"/>
  <c r="AY26" i="6"/>
  <c r="AY27" i="6"/>
  <c r="AY28" i="6"/>
  <c r="AY29" i="6"/>
  <c r="AY30" i="6"/>
  <c r="AY31" i="6"/>
  <c r="AY32" i="6"/>
  <c r="AY33" i="6"/>
  <c r="AY34" i="6"/>
  <c r="AY35" i="6"/>
  <c r="AY36" i="6"/>
  <c r="AY37" i="6"/>
  <c r="AY38" i="6"/>
  <c r="AY39" i="6"/>
  <c r="AY40" i="6"/>
  <c r="AY41" i="6"/>
  <c r="AY42" i="6"/>
  <c r="AY43" i="6"/>
  <c r="AY44" i="6"/>
  <c r="AY45" i="6"/>
  <c r="AY46" i="6"/>
  <c r="AY47" i="6"/>
  <c r="AY48" i="6"/>
  <c r="AY49" i="6"/>
  <c r="AY50" i="6"/>
  <c r="AY51" i="6"/>
  <c r="AY52" i="6"/>
  <c r="AY53" i="6"/>
  <c r="AY54" i="6"/>
  <c r="AY55" i="6"/>
  <c r="AY56" i="6"/>
  <c r="AY57" i="6"/>
  <c r="AY58" i="6"/>
  <c r="AY59" i="6"/>
  <c r="AY60" i="6"/>
  <c r="AY61" i="6"/>
  <c r="AY62" i="6"/>
  <c r="AY63" i="6"/>
  <c r="AY64" i="6"/>
  <c r="AL24" i="6"/>
  <c r="AL25" i="6"/>
  <c r="AL26" i="6"/>
  <c r="AL27" i="6"/>
  <c r="AL28" i="6"/>
  <c r="AL29" i="6"/>
  <c r="AL30" i="6"/>
  <c r="AL31" i="6"/>
  <c r="AL32" i="6"/>
  <c r="AL33" i="6"/>
  <c r="AL34" i="6"/>
  <c r="AL35" i="6"/>
  <c r="AL36" i="6"/>
  <c r="AL37" i="6"/>
  <c r="AL38" i="6"/>
  <c r="AL39" i="6"/>
  <c r="AL40" i="6"/>
  <c r="AL41" i="6"/>
  <c r="AL42" i="6"/>
  <c r="AL43" i="6"/>
  <c r="AL44" i="6"/>
  <c r="AL45" i="6"/>
  <c r="AL46" i="6"/>
  <c r="AL47" i="6"/>
  <c r="AL48" i="6"/>
  <c r="AL49" i="6"/>
  <c r="AL50" i="6"/>
  <c r="AL51" i="6"/>
  <c r="AL52" i="6"/>
  <c r="AL53" i="6"/>
  <c r="AL54" i="6"/>
  <c r="AL55" i="6"/>
  <c r="AL56" i="6"/>
  <c r="AL57" i="6"/>
  <c r="AL58" i="6"/>
  <c r="AL59" i="6"/>
  <c r="AL60" i="6"/>
  <c r="AL61" i="6"/>
  <c r="AL62" i="6"/>
  <c r="AL63" i="6"/>
  <c r="AL64" i="6"/>
  <c r="AC24" i="6"/>
  <c r="AD24" i="6" s="1"/>
  <c r="AH24" i="6" s="1"/>
  <c r="AE24" i="6"/>
  <c r="AF24" i="6" s="1"/>
  <c r="AG24" i="6"/>
  <c r="AC25" i="6"/>
  <c r="AD25" i="6" s="1"/>
  <c r="AC26" i="6"/>
  <c r="AD26" i="6" s="1"/>
  <c r="AC27" i="6"/>
  <c r="AH27" i="6" s="1"/>
  <c r="AD27" i="6"/>
  <c r="AE27" i="6"/>
  <c r="AF27" i="6"/>
  <c r="AG27" i="6"/>
  <c r="AC28" i="6"/>
  <c r="AD28" i="6" s="1"/>
  <c r="AC29" i="6"/>
  <c r="AC30" i="6"/>
  <c r="AD30" i="6" s="1"/>
  <c r="AC31" i="6"/>
  <c r="AH31" i="6" s="1"/>
  <c r="AD31" i="6"/>
  <c r="AE31" i="6"/>
  <c r="AF31" i="6" s="1"/>
  <c r="AC32" i="6"/>
  <c r="AD32" i="6" s="1"/>
  <c r="AH32" i="6" s="1"/>
  <c r="AE32" i="6"/>
  <c r="AF32" i="6" s="1"/>
  <c r="AG32" i="6"/>
  <c r="AC33" i="6"/>
  <c r="AD33" i="6" s="1"/>
  <c r="AC34" i="6"/>
  <c r="AD34" i="6" s="1"/>
  <c r="AC35" i="6"/>
  <c r="AH35" i="6" s="1"/>
  <c r="AD35" i="6"/>
  <c r="AE35" i="6"/>
  <c r="AF35" i="6"/>
  <c r="AG35" i="6"/>
  <c r="AC36" i="6"/>
  <c r="AD36" i="6" s="1"/>
  <c r="AC37" i="6"/>
  <c r="AC38" i="6"/>
  <c r="AE38" i="6" s="1"/>
  <c r="AD38" i="6"/>
  <c r="AC39" i="6"/>
  <c r="AH39" i="6" s="1"/>
  <c r="AD39" i="6"/>
  <c r="AE39" i="6"/>
  <c r="AF39" i="6" s="1"/>
  <c r="AC40" i="6"/>
  <c r="AD40" i="6" s="1"/>
  <c r="AH40" i="6" s="1"/>
  <c r="AE40" i="6"/>
  <c r="AF40" i="6" s="1"/>
  <c r="AG40" i="6"/>
  <c r="AC41" i="6"/>
  <c r="AD41" i="6" s="1"/>
  <c r="AC42" i="6"/>
  <c r="AD42" i="6" s="1"/>
  <c r="AC43" i="6"/>
  <c r="AH43" i="6" s="1"/>
  <c r="AD43" i="6"/>
  <c r="AE43" i="6"/>
  <c r="AF43" i="6"/>
  <c r="AG43" i="6"/>
  <c r="AC44" i="6"/>
  <c r="AD44" i="6" s="1"/>
  <c r="AC45" i="6"/>
  <c r="AC46" i="6"/>
  <c r="AE46" i="6" s="1"/>
  <c r="AD46" i="6"/>
  <c r="AC47" i="6"/>
  <c r="AH47" i="6" s="1"/>
  <c r="AD47" i="6"/>
  <c r="AE47" i="6"/>
  <c r="AF47" i="6" s="1"/>
  <c r="AC48" i="6"/>
  <c r="AD48" i="6" s="1"/>
  <c r="AH48" i="6" s="1"/>
  <c r="AE48" i="6"/>
  <c r="AF48" i="6" s="1"/>
  <c r="AG48" i="6"/>
  <c r="AC49" i="6"/>
  <c r="AD49" i="6" s="1"/>
  <c r="AC50" i="6"/>
  <c r="AD50" i="6" s="1"/>
  <c r="AC51" i="6"/>
  <c r="AH51" i="6" s="1"/>
  <c r="AD51" i="6"/>
  <c r="AE51" i="6"/>
  <c r="AF51" i="6"/>
  <c r="AG51" i="6"/>
  <c r="AC52" i="6"/>
  <c r="AD52" i="6" s="1"/>
  <c r="AC53" i="6"/>
  <c r="AC54" i="6"/>
  <c r="AE54" i="6" s="1"/>
  <c r="AD54" i="6"/>
  <c r="AC55" i="6"/>
  <c r="AH55" i="6" s="1"/>
  <c r="AD55" i="6"/>
  <c r="AE55" i="6"/>
  <c r="AF55" i="6" s="1"/>
  <c r="AC56" i="6"/>
  <c r="AD56" i="6" s="1"/>
  <c r="AH56" i="6" s="1"/>
  <c r="AE56" i="6"/>
  <c r="AF56" i="6" s="1"/>
  <c r="AG56" i="6"/>
  <c r="AC57" i="6"/>
  <c r="AD57" i="6" s="1"/>
  <c r="AC58" i="6"/>
  <c r="AD58" i="6" s="1"/>
  <c r="AC59" i="6"/>
  <c r="AH59" i="6" s="1"/>
  <c r="AD59" i="6"/>
  <c r="AE59" i="6"/>
  <c r="AF59" i="6"/>
  <c r="AG59" i="6"/>
  <c r="AC60" i="6"/>
  <c r="AD60" i="6" s="1"/>
  <c r="AC61" i="6"/>
  <c r="AC62" i="6"/>
  <c r="AE62" i="6" s="1"/>
  <c r="AD62" i="6"/>
  <c r="AC63" i="6"/>
  <c r="AH63" i="6" s="1"/>
  <c r="AD63" i="6"/>
  <c r="AE63" i="6"/>
  <c r="AF63" i="6" s="1"/>
  <c r="AC64" i="6"/>
  <c r="AD64" i="6" s="1"/>
  <c r="AH64" i="6" s="1"/>
  <c r="AE64" i="6"/>
  <c r="AF64" i="6" s="1"/>
  <c r="AG64" i="6"/>
  <c r="AC20" i="6"/>
  <c r="AC19" i="6"/>
  <c r="AC18" i="6"/>
  <c r="AC17" i="6"/>
  <c r="AC16" i="6"/>
  <c r="AC15" i="6"/>
  <c r="AC14" i="6"/>
  <c r="BP24" i="5"/>
  <c r="BP25" i="5"/>
  <c r="BP26" i="5"/>
  <c r="BP27" i="5"/>
  <c r="BP28" i="5"/>
  <c r="BP29" i="5"/>
  <c r="BP30" i="5"/>
  <c r="BP31" i="5"/>
  <c r="BP32" i="5"/>
  <c r="BP33" i="5"/>
  <c r="BP34" i="5"/>
  <c r="BP35" i="5"/>
  <c r="BO24" i="5"/>
  <c r="BO25" i="5"/>
  <c r="BO26" i="5"/>
  <c r="BO27" i="5"/>
  <c r="BO28" i="5"/>
  <c r="BO29" i="5"/>
  <c r="BO30" i="5"/>
  <c r="BO31" i="5"/>
  <c r="BO32" i="5"/>
  <c r="BO33" i="5"/>
  <c r="BO34" i="5"/>
  <c r="BO35" i="5"/>
  <c r="BL24" i="5"/>
  <c r="BL25" i="5"/>
  <c r="BL26" i="5"/>
  <c r="BL27" i="5"/>
  <c r="BL28" i="5"/>
  <c r="BL29" i="5"/>
  <c r="BL30" i="5"/>
  <c r="BL31" i="5"/>
  <c r="BL32" i="5"/>
  <c r="BL33" i="5"/>
  <c r="BL34" i="5"/>
  <c r="BL35" i="5"/>
  <c r="BK24" i="5"/>
  <c r="BK25" i="5"/>
  <c r="BK26" i="5"/>
  <c r="BK27" i="5"/>
  <c r="BK28" i="5"/>
  <c r="BK29" i="5"/>
  <c r="BK30" i="5"/>
  <c r="BK31" i="5"/>
  <c r="BK32" i="5"/>
  <c r="BK33" i="5"/>
  <c r="BK34" i="5"/>
  <c r="BK35" i="5"/>
  <c r="BH24" i="5"/>
  <c r="BH25" i="5"/>
  <c r="BH26" i="5"/>
  <c r="BH27" i="5"/>
  <c r="BH28" i="5"/>
  <c r="BH29" i="5"/>
  <c r="BH30" i="5"/>
  <c r="BH31" i="5"/>
  <c r="BH32" i="5"/>
  <c r="BH33" i="5"/>
  <c r="BH34" i="5"/>
  <c r="BH35" i="5"/>
  <c r="BH36" i="5"/>
  <c r="BH37" i="5"/>
  <c r="BH38" i="5"/>
  <c r="BH39" i="5"/>
  <c r="BH40" i="5"/>
  <c r="BH41" i="5"/>
  <c r="BH42" i="5"/>
  <c r="BH43" i="5"/>
  <c r="BH44" i="5"/>
  <c r="BH45" i="5"/>
  <c r="BH46" i="5"/>
  <c r="BH47" i="5"/>
  <c r="BH48" i="5"/>
  <c r="BH49" i="5"/>
  <c r="BH50" i="5"/>
  <c r="BH51" i="5"/>
  <c r="BH52" i="5"/>
  <c r="BH53" i="5"/>
  <c r="BH54" i="5"/>
  <c r="BH55" i="5"/>
  <c r="BH56" i="5"/>
  <c r="BH57" i="5"/>
  <c r="BH58" i="5"/>
  <c r="BH59" i="5"/>
  <c r="BE26" i="5"/>
  <c r="BE29" i="5"/>
  <c r="BE32" i="5"/>
  <c r="BB26" i="5"/>
  <c r="BB29" i="5"/>
  <c r="AY24" i="5"/>
  <c r="AY25" i="5"/>
  <c r="AY26" i="5"/>
  <c r="AY27" i="5"/>
  <c r="AY28" i="5"/>
  <c r="AY29" i="5"/>
  <c r="AY30" i="5"/>
  <c r="AY31" i="5"/>
  <c r="AY32" i="5"/>
  <c r="AY33" i="5"/>
  <c r="AY34" i="5"/>
  <c r="AY35" i="5"/>
  <c r="AY36" i="5"/>
  <c r="AY37" i="5"/>
  <c r="AY38" i="5"/>
  <c r="AY39" i="5"/>
  <c r="AY40" i="5"/>
  <c r="AY41" i="5"/>
  <c r="AY42" i="5"/>
  <c r="AY43" i="5"/>
  <c r="AY44" i="5"/>
  <c r="AY45" i="5"/>
  <c r="AY46" i="5"/>
  <c r="AY47" i="5"/>
  <c r="AY48" i="5"/>
  <c r="AY49" i="5"/>
  <c r="AY50" i="5"/>
  <c r="AY51" i="5"/>
  <c r="AY52" i="5"/>
  <c r="AY53" i="5"/>
  <c r="AY54" i="5"/>
  <c r="AY55" i="5"/>
  <c r="AY56" i="5"/>
  <c r="AY57" i="5"/>
  <c r="AY58" i="5"/>
  <c r="AY59" i="5"/>
  <c r="AY60" i="5"/>
  <c r="AY61" i="5"/>
  <c r="AY62" i="5"/>
  <c r="AY63" i="5"/>
  <c r="AY64" i="5"/>
  <c r="AP24" i="5"/>
  <c r="AP25" i="5"/>
  <c r="AP26" i="5"/>
  <c r="AP27" i="5"/>
  <c r="AP28" i="5"/>
  <c r="AP29" i="5"/>
  <c r="AP30" i="5"/>
  <c r="AP31" i="5"/>
  <c r="AP32" i="5"/>
  <c r="AP33" i="5"/>
  <c r="AP34" i="5"/>
  <c r="AP35" i="5"/>
  <c r="AP36" i="5"/>
  <c r="AP37" i="5"/>
  <c r="AP38" i="5"/>
  <c r="AP39" i="5"/>
  <c r="AP40" i="5"/>
  <c r="AP41" i="5"/>
  <c r="AP42" i="5"/>
  <c r="AP43" i="5"/>
  <c r="AP44" i="5"/>
  <c r="AP45" i="5"/>
  <c r="AP46" i="5"/>
  <c r="AP47" i="5"/>
  <c r="AP48" i="5"/>
  <c r="AP49" i="5"/>
  <c r="AP50" i="5"/>
  <c r="AP51" i="5"/>
  <c r="AP52" i="5"/>
  <c r="AP53" i="5"/>
  <c r="AP54" i="5"/>
  <c r="AP55" i="5"/>
  <c r="AP56" i="5"/>
  <c r="AP57" i="5"/>
  <c r="AP58" i="5"/>
  <c r="AP59" i="5"/>
  <c r="AP60" i="5"/>
  <c r="AP61" i="5"/>
  <c r="AP62" i="5"/>
  <c r="AP63" i="5"/>
  <c r="AP64" i="5"/>
  <c r="AG24" i="5"/>
  <c r="AG25" i="5"/>
  <c r="AG26" i="5"/>
  <c r="AG27" i="5"/>
  <c r="AG28" i="5"/>
  <c r="AG29" i="5"/>
  <c r="AG30" i="5"/>
  <c r="AG31" i="5"/>
  <c r="AG32" i="5"/>
  <c r="AG33" i="5"/>
  <c r="AG34" i="5"/>
  <c r="AG35" i="5"/>
  <c r="AG36" i="5"/>
  <c r="AG37" i="5"/>
  <c r="AG38" i="5"/>
  <c r="AG39" i="5"/>
  <c r="AG40" i="5"/>
  <c r="AG41" i="5"/>
  <c r="AG42" i="5"/>
  <c r="AG43" i="5"/>
  <c r="AG44" i="5"/>
  <c r="AG45" i="5"/>
  <c r="AG46" i="5"/>
  <c r="AG47" i="5"/>
  <c r="AG48" i="5"/>
  <c r="AG49" i="5"/>
  <c r="AG50" i="5"/>
  <c r="AG51" i="5"/>
  <c r="AG52" i="5"/>
  <c r="AG53" i="5"/>
  <c r="AG54" i="5"/>
  <c r="AG55" i="5"/>
  <c r="AG56" i="5"/>
  <c r="AG57" i="5"/>
  <c r="AG58" i="5"/>
  <c r="AG59" i="5"/>
  <c r="AG60" i="5"/>
  <c r="AG61" i="5"/>
  <c r="AG62" i="5"/>
  <c r="AG63" i="5"/>
  <c r="AG64" i="5"/>
  <c r="AX24" i="5"/>
  <c r="AX25" i="5"/>
  <c r="AX26" i="5"/>
  <c r="AX27" i="5"/>
  <c r="AX28" i="5"/>
  <c r="AX29" i="5"/>
  <c r="AX30" i="5"/>
  <c r="AX31" i="5"/>
  <c r="AX32" i="5"/>
  <c r="AX33" i="5"/>
  <c r="AX34" i="5"/>
  <c r="AX35" i="5"/>
  <c r="AX36" i="5"/>
  <c r="AX37" i="5"/>
  <c r="AX38" i="5"/>
  <c r="AX39" i="5"/>
  <c r="AX40" i="5"/>
  <c r="AX41" i="5"/>
  <c r="AX42" i="5"/>
  <c r="AX43" i="5"/>
  <c r="AX44" i="5"/>
  <c r="AX45" i="5"/>
  <c r="AX46" i="5"/>
  <c r="AX47" i="5"/>
  <c r="AX48" i="5"/>
  <c r="AX49" i="5"/>
  <c r="AX50" i="5"/>
  <c r="AX51" i="5"/>
  <c r="AX52" i="5"/>
  <c r="AX53" i="5"/>
  <c r="AX54" i="5"/>
  <c r="AX55" i="5"/>
  <c r="AX56" i="5"/>
  <c r="AX57" i="5"/>
  <c r="AX58" i="5"/>
  <c r="AX59" i="5"/>
  <c r="AX60" i="5"/>
  <c r="AX61" i="5"/>
  <c r="AX62" i="5"/>
  <c r="AX63" i="5"/>
  <c r="AX64" i="5"/>
  <c r="AO24" i="5"/>
  <c r="AO25" i="5"/>
  <c r="AO26" i="5"/>
  <c r="AO27" i="5"/>
  <c r="AO28" i="5"/>
  <c r="AO29" i="5"/>
  <c r="AO30" i="5"/>
  <c r="AO31" i="5"/>
  <c r="AO32" i="5"/>
  <c r="AO33" i="5"/>
  <c r="AO34" i="5"/>
  <c r="AO35" i="5"/>
  <c r="AO36" i="5"/>
  <c r="AO37" i="5"/>
  <c r="AO38" i="5"/>
  <c r="AO39" i="5"/>
  <c r="AO40" i="5"/>
  <c r="AO41" i="5"/>
  <c r="AO42" i="5"/>
  <c r="AO43" i="5"/>
  <c r="AO44" i="5"/>
  <c r="AO45" i="5"/>
  <c r="AO46" i="5"/>
  <c r="AO47" i="5"/>
  <c r="AO48" i="5"/>
  <c r="AO49" i="5"/>
  <c r="AO50" i="5"/>
  <c r="AO51" i="5"/>
  <c r="AO52" i="5"/>
  <c r="AO53" i="5"/>
  <c r="AO54" i="5"/>
  <c r="AO55" i="5"/>
  <c r="AO56" i="5"/>
  <c r="AO57" i="5"/>
  <c r="AO58" i="5"/>
  <c r="AO59" i="5"/>
  <c r="AO60" i="5"/>
  <c r="AO61" i="5"/>
  <c r="AO62" i="5"/>
  <c r="AO63" i="5"/>
  <c r="AO64" i="5"/>
  <c r="AF24" i="5"/>
  <c r="AF25" i="5"/>
  <c r="AF26" i="5"/>
  <c r="AF27" i="5"/>
  <c r="AF28" i="5"/>
  <c r="AF29" i="5"/>
  <c r="AF30" i="5"/>
  <c r="AF31" i="5"/>
  <c r="AF32" i="5"/>
  <c r="AF33" i="5"/>
  <c r="AF34" i="5"/>
  <c r="AF35" i="5"/>
  <c r="AF36" i="5"/>
  <c r="AF37" i="5"/>
  <c r="AF38" i="5"/>
  <c r="AF39" i="5"/>
  <c r="AF40" i="5"/>
  <c r="AF41" i="5"/>
  <c r="AF42" i="5"/>
  <c r="AF43" i="5"/>
  <c r="AF44" i="5"/>
  <c r="AF45" i="5"/>
  <c r="AF46" i="5"/>
  <c r="AF47" i="5"/>
  <c r="AF48" i="5"/>
  <c r="AF49" i="5"/>
  <c r="AF50" i="5"/>
  <c r="AF51" i="5"/>
  <c r="AF52" i="5"/>
  <c r="AF53" i="5"/>
  <c r="AF54" i="5"/>
  <c r="AF55" i="5"/>
  <c r="AF56" i="5"/>
  <c r="AF57" i="5"/>
  <c r="AF58" i="5"/>
  <c r="AF59" i="5"/>
  <c r="AF60" i="5"/>
  <c r="AF61" i="5"/>
  <c r="AF62" i="5"/>
  <c r="AF63" i="5"/>
  <c r="AF64" i="5"/>
  <c r="AW24" i="5"/>
  <c r="AW25" i="5"/>
  <c r="AW26" i="5"/>
  <c r="AW27" i="5"/>
  <c r="AW28" i="5"/>
  <c r="AW29" i="5"/>
  <c r="AW30" i="5"/>
  <c r="AW31" i="5"/>
  <c r="AW32" i="5"/>
  <c r="AW33" i="5"/>
  <c r="AW34" i="5"/>
  <c r="AW35" i="5"/>
  <c r="AW36" i="5"/>
  <c r="AW37" i="5"/>
  <c r="AW38" i="5"/>
  <c r="AW39" i="5"/>
  <c r="AW40" i="5"/>
  <c r="AW41" i="5"/>
  <c r="AW42" i="5"/>
  <c r="AW43" i="5"/>
  <c r="AW44" i="5"/>
  <c r="AW45" i="5"/>
  <c r="AW46" i="5"/>
  <c r="AW47" i="5"/>
  <c r="AW48" i="5"/>
  <c r="AW49" i="5"/>
  <c r="AW50" i="5"/>
  <c r="AW51" i="5"/>
  <c r="AW52" i="5"/>
  <c r="AW53" i="5"/>
  <c r="AW54" i="5"/>
  <c r="AW55" i="5"/>
  <c r="AW56" i="5"/>
  <c r="AW57" i="5"/>
  <c r="AW58" i="5"/>
  <c r="AW59" i="5"/>
  <c r="AW60" i="5"/>
  <c r="AW61" i="5"/>
  <c r="AW62" i="5"/>
  <c r="AW63" i="5"/>
  <c r="AW64" i="5"/>
  <c r="AN24" i="5"/>
  <c r="AN25" i="5"/>
  <c r="AN26" i="5"/>
  <c r="AN27" i="5"/>
  <c r="AN28" i="5"/>
  <c r="AN29" i="5"/>
  <c r="AN30" i="5"/>
  <c r="AN31" i="5"/>
  <c r="AN32" i="5"/>
  <c r="AN33" i="5"/>
  <c r="AN34" i="5"/>
  <c r="AN35" i="5"/>
  <c r="AN36" i="5"/>
  <c r="AN37" i="5"/>
  <c r="AN38" i="5"/>
  <c r="AN39" i="5"/>
  <c r="AN40" i="5"/>
  <c r="AN41" i="5"/>
  <c r="AN42" i="5"/>
  <c r="AN43" i="5"/>
  <c r="AN44" i="5"/>
  <c r="AN45" i="5"/>
  <c r="AN46" i="5"/>
  <c r="AN47" i="5"/>
  <c r="AN48" i="5"/>
  <c r="AN49" i="5"/>
  <c r="AN50" i="5"/>
  <c r="AN51" i="5"/>
  <c r="AN52" i="5"/>
  <c r="AN53" i="5"/>
  <c r="AN54" i="5"/>
  <c r="AN55" i="5"/>
  <c r="AN56" i="5"/>
  <c r="AN57" i="5"/>
  <c r="AN58" i="5"/>
  <c r="AN59" i="5"/>
  <c r="AN60" i="5"/>
  <c r="AN61" i="5"/>
  <c r="AN62" i="5"/>
  <c r="AN63" i="5"/>
  <c r="AN64" i="5"/>
  <c r="AE24" i="5"/>
  <c r="AE25" i="5"/>
  <c r="AE26" i="5"/>
  <c r="AE27" i="5"/>
  <c r="AE28" i="5"/>
  <c r="AE29" i="5"/>
  <c r="AE30" i="5"/>
  <c r="AE31" i="5"/>
  <c r="AE32" i="5"/>
  <c r="AE33" i="5"/>
  <c r="AE34" i="5"/>
  <c r="AE35" i="5"/>
  <c r="AE36" i="5"/>
  <c r="AE37" i="5"/>
  <c r="AE38" i="5"/>
  <c r="AE39" i="5"/>
  <c r="AE40" i="5"/>
  <c r="AE41" i="5"/>
  <c r="AE42" i="5"/>
  <c r="AE43" i="5"/>
  <c r="AE44" i="5"/>
  <c r="AE45" i="5"/>
  <c r="AE46" i="5"/>
  <c r="AE47" i="5"/>
  <c r="AE48" i="5"/>
  <c r="AE49" i="5"/>
  <c r="AE50" i="5"/>
  <c r="AE51" i="5"/>
  <c r="AE52" i="5"/>
  <c r="AE53" i="5"/>
  <c r="AE54" i="5"/>
  <c r="AE55" i="5"/>
  <c r="AE56" i="5"/>
  <c r="AE57" i="5"/>
  <c r="AE58" i="5"/>
  <c r="AE59" i="5"/>
  <c r="AE60" i="5"/>
  <c r="AE61" i="5"/>
  <c r="AE62" i="5"/>
  <c r="AE63" i="5"/>
  <c r="AE64" i="5"/>
  <c r="AV24" i="5"/>
  <c r="AV25" i="5"/>
  <c r="AV26" i="5"/>
  <c r="AV27" i="5"/>
  <c r="AV28" i="5"/>
  <c r="AV29" i="5"/>
  <c r="AV30" i="5"/>
  <c r="AV31" i="5"/>
  <c r="AV32" i="5"/>
  <c r="AV33" i="5"/>
  <c r="AV34" i="5"/>
  <c r="AV35" i="5"/>
  <c r="AV36" i="5"/>
  <c r="AV37" i="5"/>
  <c r="AV38" i="5"/>
  <c r="AV39" i="5"/>
  <c r="AV40" i="5"/>
  <c r="AV41" i="5"/>
  <c r="AV42" i="5"/>
  <c r="AV43" i="5"/>
  <c r="AV44" i="5"/>
  <c r="AV45" i="5"/>
  <c r="AV46" i="5"/>
  <c r="AV47" i="5"/>
  <c r="AV48" i="5"/>
  <c r="AV49" i="5"/>
  <c r="AV50" i="5"/>
  <c r="AV51" i="5"/>
  <c r="AV52" i="5"/>
  <c r="AV53" i="5"/>
  <c r="AV54" i="5"/>
  <c r="AV55" i="5"/>
  <c r="AV56" i="5"/>
  <c r="AV57" i="5"/>
  <c r="AV58" i="5"/>
  <c r="AV59" i="5"/>
  <c r="AV60" i="5"/>
  <c r="AV61" i="5"/>
  <c r="AV62" i="5"/>
  <c r="AV63" i="5"/>
  <c r="AV64" i="5"/>
  <c r="AM24" i="5"/>
  <c r="AM25" i="5"/>
  <c r="AM26" i="5"/>
  <c r="AM27" i="5"/>
  <c r="AM28" i="5"/>
  <c r="AM29" i="5"/>
  <c r="AM30" i="5"/>
  <c r="AM31" i="5"/>
  <c r="AM32" i="5"/>
  <c r="AM33" i="5"/>
  <c r="AM34" i="5"/>
  <c r="AM35" i="5"/>
  <c r="AM36" i="5"/>
  <c r="AM37" i="5"/>
  <c r="AM38" i="5"/>
  <c r="AM39" i="5"/>
  <c r="AM40" i="5"/>
  <c r="AM41" i="5"/>
  <c r="AM42" i="5"/>
  <c r="AM43" i="5"/>
  <c r="AM44" i="5"/>
  <c r="AM45" i="5"/>
  <c r="AM46" i="5"/>
  <c r="AM47" i="5"/>
  <c r="AM48" i="5"/>
  <c r="AM49" i="5"/>
  <c r="AM50" i="5"/>
  <c r="AM51" i="5"/>
  <c r="AM52" i="5"/>
  <c r="AM53" i="5"/>
  <c r="AM54" i="5"/>
  <c r="AM55" i="5"/>
  <c r="AM56" i="5"/>
  <c r="AM57" i="5"/>
  <c r="AM58" i="5"/>
  <c r="AM59" i="5"/>
  <c r="AM60" i="5"/>
  <c r="AM61" i="5"/>
  <c r="AM62" i="5"/>
  <c r="AM63" i="5"/>
  <c r="AM64"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D49" i="5"/>
  <c r="AD50" i="5"/>
  <c r="AD51" i="5"/>
  <c r="AD52" i="5"/>
  <c r="AD53" i="5"/>
  <c r="AD54" i="5"/>
  <c r="AD55" i="5"/>
  <c r="AD56" i="5"/>
  <c r="AD57" i="5"/>
  <c r="AD58" i="5"/>
  <c r="AD59" i="5"/>
  <c r="AD60" i="5"/>
  <c r="AD61" i="5"/>
  <c r="AD62" i="5"/>
  <c r="AD63" i="5"/>
  <c r="AD64" i="5"/>
  <c r="AU24" i="5"/>
  <c r="AU25" i="5"/>
  <c r="AU26" i="5"/>
  <c r="AU27" i="5"/>
  <c r="AU28" i="5"/>
  <c r="AU29" i="5"/>
  <c r="AU30" i="5"/>
  <c r="AU31" i="5"/>
  <c r="AU32" i="5"/>
  <c r="AU33" i="5"/>
  <c r="AU34" i="5"/>
  <c r="AU35" i="5"/>
  <c r="AU36" i="5"/>
  <c r="AU37" i="5"/>
  <c r="AU38" i="5"/>
  <c r="AU39" i="5"/>
  <c r="AU40" i="5"/>
  <c r="AU41" i="5"/>
  <c r="AU42" i="5"/>
  <c r="AU43" i="5"/>
  <c r="AU44" i="5"/>
  <c r="AU45" i="5"/>
  <c r="AU46" i="5"/>
  <c r="AU47" i="5"/>
  <c r="AU48" i="5"/>
  <c r="AU49" i="5"/>
  <c r="AU50" i="5"/>
  <c r="AU51" i="5"/>
  <c r="AU52" i="5"/>
  <c r="AU53" i="5"/>
  <c r="AU54" i="5"/>
  <c r="AU55" i="5"/>
  <c r="AU56" i="5"/>
  <c r="AU57" i="5"/>
  <c r="AU58" i="5"/>
  <c r="AU59" i="5"/>
  <c r="AU60" i="5"/>
  <c r="AU61" i="5"/>
  <c r="AU62" i="5"/>
  <c r="AU63" i="5"/>
  <c r="AU64" i="5"/>
  <c r="AL24" i="5"/>
  <c r="AL25" i="5"/>
  <c r="AL26" i="5"/>
  <c r="AL27" i="5"/>
  <c r="AL28" i="5"/>
  <c r="AL29" i="5"/>
  <c r="AL30" i="5"/>
  <c r="AL31" i="5"/>
  <c r="AL32" i="5"/>
  <c r="AL33" i="5"/>
  <c r="AL34" i="5"/>
  <c r="AL35" i="5"/>
  <c r="AL36" i="5"/>
  <c r="AL37" i="5"/>
  <c r="AL38" i="5"/>
  <c r="AL39" i="5"/>
  <c r="AL40" i="5"/>
  <c r="AL41" i="5"/>
  <c r="AL42" i="5"/>
  <c r="AL43" i="5"/>
  <c r="AL44" i="5"/>
  <c r="AL45" i="5"/>
  <c r="AL46" i="5"/>
  <c r="AL47" i="5"/>
  <c r="AL48" i="5"/>
  <c r="AL49" i="5"/>
  <c r="AL50" i="5"/>
  <c r="AL51" i="5"/>
  <c r="AL52" i="5"/>
  <c r="AL53" i="5"/>
  <c r="AL54" i="5"/>
  <c r="AL55" i="5"/>
  <c r="AL56" i="5"/>
  <c r="AL57" i="5"/>
  <c r="AL58" i="5"/>
  <c r="AL59" i="5"/>
  <c r="AL60" i="5"/>
  <c r="AL61" i="5"/>
  <c r="AL62" i="5"/>
  <c r="AL63" i="5"/>
  <c r="AL64"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T24" i="5"/>
  <c r="AT25" i="5"/>
  <c r="AT26" i="5"/>
  <c r="AT27" i="5"/>
  <c r="AT28" i="5"/>
  <c r="AT29" i="5"/>
  <c r="AT30" i="5"/>
  <c r="AT31" i="5"/>
  <c r="AT32" i="5"/>
  <c r="AT33" i="5"/>
  <c r="AT34" i="5"/>
  <c r="AT35" i="5"/>
  <c r="AT36" i="5"/>
  <c r="AT37" i="5"/>
  <c r="AT38" i="5"/>
  <c r="AT39" i="5"/>
  <c r="AT40" i="5"/>
  <c r="AT41" i="5"/>
  <c r="AT42" i="5"/>
  <c r="AT43" i="5"/>
  <c r="AT44" i="5"/>
  <c r="AT45" i="5"/>
  <c r="AT46" i="5"/>
  <c r="AT47" i="5"/>
  <c r="AT48" i="5"/>
  <c r="AT49" i="5"/>
  <c r="AT50" i="5"/>
  <c r="AT51" i="5"/>
  <c r="AT52" i="5"/>
  <c r="AT53" i="5"/>
  <c r="AT54" i="5"/>
  <c r="AT55" i="5"/>
  <c r="AT56" i="5"/>
  <c r="AT57" i="5"/>
  <c r="AT58" i="5"/>
  <c r="AT59" i="5"/>
  <c r="AT60" i="5"/>
  <c r="AT61" i="5"/>
  <c r="AT62" i="5"/>
  <c r="AT63" i="5"/>
  <c r="AT64" i="5"/>
  <c r="AK24" i="5"/>
  <c r="AK25" i="5"/>
  <c r="AK26" i="5"/>
  <c r="AK27" i="5"/>
  <c r="AK28" i="5"/>
  <c r="AK29" i="5"/>
  <c r="AK30" i="5"/>
  <c r="AK31" i="5"/>
  <c r="AK32" i="5"/>
  <c r="AK33" i="5"/>
  <c r="AK34" i="5"/>
  <c r="AK35" i="5"/>
  <c r="AK36" i="5"/>
  <c r="AK37" i="5"/>
  <c r="AK38" i="5"/>
  <c r="AK39" i="5"/>
  <c r="AK40" i="5"/>
  <c r="AK41" i="5"/>
  <c r="AK42" i="5"/>
  <c r="AK43" i="5"/>
  <c r="AK44" i="5"/>
  <c r="AK45" i="5"/>
  <c r="AK46" i="5"/>
  <c r="AK47" i="5"/>
  <c r="AK48" i="5"/>
  <c r="AK49" i="5"/>
  <c r="AK50" i="5"/>
  <c r="AK51" i="5"/>
  <c r="AK52" i="5"/>
  <c r="AK53" i="5"/>
  <c r="AK54" i="5"/>
  <c r="AK55" i="5"/>
  <c r="AK56" i="5"/>
  <c r="AK57" i="5"/>
  <c r="AK58" i="5"/>
  <c r="AK59" i="5"/>
  <c r="AK60" i="5"/>
  <c r="AK61" i="5"/>
  <c r="AK62" i="5"/>
  <c r="AK63" i="5"/>
  <c r="AK64"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S24" i="5"/>
  <c r="AS25" i="5"/>
  <c r="AS26" i="5"/>
  <c r="AS27" i="5"/>
  <c r="AS28" i="5"/>
  <c r="AS29" i="5"/>
  <c r="AS30" i="5"/>
  <c r="AS31" i="5"/>
  <c r="AS32" i="5"/>
  <c r="AS33" i="5"/>
  <c r="AS34" i="5"/>
  <c r="AS35" i="5"/>
  <c r="AS36" i="5"/>
  <c r="AS37" i="5"/>
  <c r="AS38" i="5"/>
  <c r="AS39" i="5"/>
  <c r="AS40" i="5"/>
  <c r="AS41" i="5"/>
  <c r="AS42" i="5"/>
  <c r="AS43" i="5"/>
  <c r="AS44" i="5"/>
  <c r="AS45" i="5"/>
  <c r="AS46" i="5"/>
  <c r="AS47" i="5"/>
  <c r="AS48" i="5"/>
  <c r="AS49" i="5"/>
  <c r="AS50" i="5"/>
  <c r="AS51" i="5"/>
  <c r="AS52" i="5"/>
  <c r="AS53" i="5"/>
  <c r="AS54" i="5"/>
  <c r="AS55" i="5"/>
  <c r="AS56" i="5"/>
  <c r="AS57" i="5"/>
  <c r="AS58" i="5"/>
  <c r="AS59" i="5"/>
  <c r="AS60" i="5"/>
  <c r="AS61" i="5"/>
  <c r="AS62" i="5"/>
  <c r="AS63" i="5"/>
  <c r="AS64" i="5"/>
  <c r="AJ24" i="5"/>
  <c r="AJ25" i="5"/>
  <c r="AJ26" i="5"/>
  <c r="AJ27" i="5"/>
  <c r="AJ28" i="5"/>
  <c r="AJ29" i="5"/>
  <c r="AJ30" i="5"/>
  <c r="AJ31" i="5"/>
  <c r="AJ32" i="5"/>
  <c r="AJ33" i="5"/>
  <c r="AJ34" i="5"/>
  <c r="AJ35" i="5"/>
  <c r="AJ36" i="5"/>
  <c r="AJ37" i="5"/>
  <c r="AJ38" i="5"/>
  <c r="AJ39" i="5"/>
  <c r="AJ40" i="5"/>
  <c r="AJ41" i="5"/>
  <c r="AJ42" i="5"/>
  <c r="AJ43" i="5"/>
  <c r="AJ44" i="5"/>
  <c r="AJ45" i="5"/>
  <c r="AJ46" i="5"/>
  <c r="AJ47" i="5"/>
  <c r="AJ48" i="5"/>
  <c r="AJ49" i="5"/>
  <c r="AJ50" i="5"/>
  <c r="AJ51" i="5"/>
  <c r="AJ52" i="5"/>
  <c r="AJ53" i="5"/>
  <c r="AJ54" i="5"/>
  <c r="AJ55" i="5"/>
  <c r="AJ56" i="5"/>
  <c r="AJ57" i="5"/>
  <c r="AJ58" i="5"/>
  <c r="AJ59" i="5"/>
  <c r="AJ60" i="5"/>
  <c r="AJ61" i="5"/>
  <c r="AJ62" i="5"/>
  <c r="AJ63" i="5"/>
  <c r="AJ64" i="5"/>
  <c r="AA24" i="5"/>
  <c r="AA25" i="5"/>
  <c r="AA26" i="5"/>
  <c r="AA27" i="5"/>
  <c r="AA28" i="5"/>
  <c r="AA29" i="5"/>
  <c r="AA30" i="5"/>
  <c r="AA31" i="5"/>
  <c r="AA32" i="5"/>
  <c r="AA33" i="5"/>
  <c r="AA34" i="5"/>
  <c r="AA35" i="5"/>
  <c r="AA36" i="5"/>
  <c r="AA37" i="5"/>
  <c r="AA38" i="5"/>
  <c r="AA39" i="5"/>
  <c r="AA40" i="5"/>
  <c r="AA41" i="5"/>
  <c r="AA42" i="5"/>
  <c r="AA43" i="5"/>
  <c r="AA44" i="5"/>
  <c r="AA45" i="5"/>
  <c r="AA46" i="5"/>
  <c r="AA47" i="5"/>
  <c r="AA48" i="5"/>
  <c r="AA49" i="5"/>
  <c r="AA50" i="5"/>
  <c r="AA51" i="5"/>
  <c r="AA52" i="5"/>
  <c r="AA53" i="5"/>
  <c r="AA54" i="5"/>
  <c r="AA55" i="5"/>
  <c r="AA56" i="5"/>
  <c r="AA57" i="5"/>
  <c r="AA58" i="5"/>
  <c r="AA59" i="5"/>
  <c r="AA60" i="5"/>
  <c r="AA61" i="5"/>
  <c r="AA62" i="5"/>
  <c r="AA63" i="5"/>
  <c r="AA64" i="5"/>
  <c r="AR24" i="5"/>
  <c r="AR25" i="5"/>
  <c r="AR26" i="5"/>
  <c r="AR27" i="5"/>
  <c r="AR28" i="5"/>
  <c r="AR29" i="5"/>
  <c r="AR30" i="5"/>
  <c r="AR31" i="5"/>
  <c r="AR32" i="5"/>
  <c r="AR33" i="5"/>
  <c r="AR34" i="5"/>
  <c r="AR35" i="5"/>
  <c r="AR36" i="5"/>
  <c r="AR37" i="5"/>
  <c r="AR38" i="5"/>
  <c r="AR39" i="5"/>
  <c r="AR40" i="5"/>
  <c r="AR41" i="5"/>
  <c r="AR42" i="5"/>
  <c r="AR43" i="5"/>
  <c r="AR44" i="5"/>
  <c r="AR45" i="5"/>
  <c r="AR46" i="5"/>
  <c r="AR47" i="5"/>
  <c r="AR48" i="5"/>
  <c r="AR49" i="5"/>
  <c r="AR50" i="5"/>
  <c r="AR51" i="5"/>
  <c r="AR52" i="5"/>
  <c r="AR53" i="5"/>
  <c r="AR54" i="5"/>
  <c r="AR55" i="5"/>
  <c r="AR56" i="5"/>
  <c r="AR57" i="5"/>
  <c r="AR58" i="5"/>
  <c r="AR59" i="5"/>
  <c r="AR60" i="5"/>
  <c r="AR61" i="5"/>
  <c r="AR62" i="5"/>
  <c r="AR63" i="5"/>
  <c r="AR64" i="5"/>
  <c r="AI24" i="5"/>
  <c r="AI25" i="5"/>
  <c r="AI26" i="5"/>
  <c r="AI27" i="5"/>
  <c r="AI28" i="5"/>
  <c r="AI29" i="5"/>
  <c r="AI30" i="5"/>
  <c r="AI31" i="5"/>
  <c r="AI32" i="5"/>
  <c r="AI33" i="5"/>
  <c r="AI34" i="5"/>
  <c r="AI35" i="5"/>
  <c r="AI36" i="5"/>
  <c r="AI37" i="5"/>
  <c r="AI38" i="5"/>
  <c r="AI39" i="5"/>
  <c r="AI40" i="5"/>
  <c r="AI41" i="5"/>
  <c r="AI42" i="5"/>
  <c r="AI43" i="5"/>
  <c r="AI44" i="5"/>
  <c r="AI45" i="5"/>
  <c r="AI46" i="5"/>
  <c r="AI47" i="5"/>
  <c r="AI48" i="5"/>
  <c r="AI49" i="5"/>
  <c r="AI50" i="5"/>
  <c r="AI51" i="5"/>
  <c r="AI52" i="5"/>
  <c r="AI53" i="5"/>
  <c r="AI54" i="5"/>
  <c r="AI55" i="5"/>
  <c r="AI56" i="5"/>
  <c r="AI57" i="5"/>
  <c r="AI58" i="5"/>
  <c r="AI59" i="5"/>
  <c r="AI60" i="5"/>
  <c r="AI61" i="5"/>
  <c r="AI62" i="5"/>
  <c r="AI63" i="5"/>
  <c r="AI64" i="5"/>
  <c r="Z24" i="5"/>
  <c r="Z25" i="5"/>
  <c r="Z26" i="5"/>
  <c r="Z27" i="5"/>
  <c r="Z28" i="5"/>
  <c r="Z29" i="5"/>
  <c r="Z30" i="5"/>
  <c r="Z31" i="5"/>
  <c r="Z32" i="5"/>
  <c r="Z33" i="5"/>
  <c r="Z34" i="5"/>
  <c r="Z35" i="5"/>
  <c r="Z36" i="5"/>
  <c r="Z37" i="5"/>
  <c r="Z38" i="5"/>
  <c r="Z39" i="5"/>
  <c r="Z40" i="5"/>
  <c r="Z41" i="5"/>
  <c r="Z42" i="5"/>
  <c r="Z43" i="5"/>
  <c r="Z44" i="5"/>
  <c r="Z45" i="5"/>
  <c r="Z46" i="5"/>
  <c r="Z47" i="5"/>
  <c r="Z48" i="5"/>
  <c r="Z49" i="5"/>
  <c r="Z50" i="5"/>
  <c r="Z51" i="5"/>
  <c r="Z52" i="5"/>
  <c r="Z53" i="5"/>
  <c r="Z54" i="5"/>
  <c r="Z55" i="5"/>
  <c r="Z56" i="5"/>
  <c r="Z57" i="5"/>
  <c r="Z58" i="5"/>
  <c r="Z59" i="5"/>
  <c r="Z60" i="5"/>
  <c r="Z61" i="5"/>
  <c r="Z62" i="5"/>
  <c r="Z63" i="5"/>
  <c r="Z64" i="5"/>
  <c r="Q24" i="5"/>
  <c r="R24" i="5" s="1"/>
  <c r="V24" i="5" s="1"/>
  <c r="S24" i="5"/>
  <c r="T24" i="5" s="1"/>
  <c r="U24" i="5"/>
  <c r="Q25" i="5"/>
  <c r="R25" i="5"/>
  <c r="S25" i="5"/>
  <c r="T25" i="5" s="1"/>
  <c r="V25" i="5"/>
  <c r="W25" i="5" s="1"/>
  <c r="X25" i="5"/>
  <c r="Y25" i="5"/>
  <c r="Q26" i="5"/>
  <c r="R26" i="5" s="1"/>
  <c r="Q27" i="5"/>
  <c r="V27" i="5" s="1"/>
  <c r="R27" i="5"/>
  <c r="S27" i="5"/>
  <c r="T27" i="5" s="1"/>
  <c r="Q28" i="5"/>
  <c r="R28" i="5" s="1"/>
  <c r="V28" i="5" s="1"/>
  <c r="S28" i="5"/>
  <c r="T28" i="5" s="1"/>
  <c r="U28" i="5"/>
  <c r="Q29" i="5"/>
  <c r="V29" i="5" s="1"/>
  <c r="R29" i="5"/>
  <c r="S29" i="5"/>
  <c r="T29" i="5" s="1"/>
  <c r="Q30" i="5"/>
  <c r="R30" i="5" s="1"/>
  <c r="Q31" i="5"/>
  <c r="V31" i="5" s="1"/>
  <c r="R31" i="5"/>
  <c r="S31" i="5"/>
  <c r="T31" i="5" s="1"/>
  <c r="Q32" i="5"/>
  <c r="R32" i="5" s="1"/>
  <c r="V32" i="5" s="1"/>
  <c r="S32" i="5"/>
  <c r="T32" i="5" s="1"/>
  <c r="U32" i="5"/>
  <c r="Q33" i="5"/>
  <c r="R33" i="5"/>
  <c r="S33" i="5"/>
  <c r="T33" i="5" s="1"/>
  <c r="V33" i="5"/>
  <c r="W33" i="5" s="1"/>
  <c r="X33" i="5"/>
  <c r="Q34" i="5"/>
  <c r="R34" i="5" s="1"/>
  <c r="Q35" i="5"/>
  <c r="V35" i="5" s="1"/>
  <c r="R35" i="5"/>
  <c r="S35" i="5"/>
  <c r="T35" i="5" s="1"/>
  <c r="Q36" i="5"/>
  <c r="R36" i="5" s="1"/>
  <c r="V36" i="5" s="1"/>
  <c r="S36" i="5"/>
  <c r="T36" i="5" s="1"/>
  <c r="U36" i="5"/>
  <c r="Q37" i="5"/>
  <c r="V37" i="5" s="1"/>
  <c r="R37" i="5"/>
  <c r="S37" i="5"/>
  <c r="T37" i="5" s="1"/>
  <c r="Q38" i="5"/>
  <c r="R38" i="5" s="1"/>
  <c r="Q39" i="5"/>
  <c r="V39" i="5" s="1"/>
  <c r="R39" i="5"/>
  <c r="S39" i="5"/>
  <c r="T39" i="5" s="1"/>
  <c r="Q40" i="5"/>
  <c r="R40" i="5" s="1"/>
  <c r="V40" i="5" s="1"/>
  <c r="S40" i="5"/>
  <c r="T40" i="5" s="1"/>
  <c r="U40" i="5"/>
  <c r="Q41" i="5"/>
  <c r="R41" i="5"/>
  <c r="S41" i="5"/>
  <c r="T41" i="5" s="1"/>
  <c r="V41" i="5"/>
  <c r="W41" i="5" s="1"/>
  <c r="X41" i="5"/>
  <c r="Q42" i="5"/>
  <c r="R42" i="5" s="1"/>
  <c r="Q43" i="5"/>
  <c r="V43" i="5" s="1"/>
  <c r="R43" i="5"/>
  <c r="S43" i="5"/>
  <c r="T43" i="5" s="1"/>
  <c r="Q44" i="5"/>
  <c r="R44" i="5" s="1"/>
  <c r="V44" i="5" s="1"/>
  <c r="S44" i="5"/>
  <c r="T44" i="5" s="1"/>
  <c r="U44" i="5"/>
  <c r="Q45" i="5"/>
  <c r="V45" i="5" s="1"/>
  <c r="R45" i="5"/>
  <c r="S45" i="5"/>
  <c r="T45" i="5" s="1"/>
  <c r="Q46" i="5"/>
  <c r="R46" i="5" s="1"/>
  <c r="Q47" i="5"/>
  <c r="V47" i="5" s="1"/>
  <c r="R47" i="5"/>
  <c r="S47" i="5"/>
  <c r="T47" i="5" s="1"/>
  <c r="Q48" i="5"/>
  <c r="R48" i="5" s="1"/>
  <c r="V48" i="5" s="1"/>
  <c r="S48" i="5"/>
  <c r="T48" i="5" s="1"/>
  <c r="U48" i="5"/>
  <c r="Q49" i="5"/>
  <c r="R49" i="5"/>
  <c r="S49" i="5"/>
  <c r="T49" i="5" s="1"/>
  <c r="V49" i="5"/>
  <c r="X49" i="5"/>
  <c r="Q50" i="5"/>
  <c r="R50" i="5" s="1"/>
  <c r="Q51" i="5"/>
  <c r="V51" i="5" s="1"/>
  <c r="R51" i="5"/>
  <c r="S51" i="5"/>
  <c r="T51" i="5" s="1"/>
  <c r="Q52" i="5"/>
  <c r="R52" i="5" s="1"/>
  <c r="V52" i="5" s="1"/>
  <c r="S52" i="5"/>
  <c r="T52" i="5" s="1"/>
  <c r="U52" i="5"/>
  <c r="Q53" i="5"/>
  <c r="R53" i="5"/>
  <c r="S53" i="5"/>
  <c r="T53" i="5" s="1"/>
  <c r="Q54" i="5"/>
  <c r="R54" i="5" s="1"/>
  <c r="Q55" i="5"/>
  <c r="V55" i="5" s="1"/>
  <c r="R55" i="5"/>
  <c r="S55" i="5"/>
  <c r="T55" i="5" s="1"/>
  <c r="Q56" i="5"/>
  <c r="R56" i="5" s="1"/>
  <c r="V56" i="5" s="1"/>
  <c r="S56" i="5"/>
  <c r="T56" i="5" s="1"/>
  <c r="U56" i="5"/>
  <c r="Q57" i="5"/>
  <c r="R57" i="5"/>
  <c r="S57" i="5"/>
  <c r="T57" i="5" s="1"/>
  <c r="V57" i="5"/>
  <c r="W57" i="5" s="1"/>
  <c r="X57" i="5"/>
  <c r="Q58" i="5"/>
  <c r="R58" i="5" s="1"/>
  <c r="Q59" i="5"/>
  <c r="V59" i="5" s="1"/>
  <c r="R59" i="5"/>
  <c r="S59" i="5"/>
  <c r="T59" i="5" s="1"/>
  <c r="Q60" i="5"/>
  <c r="R60" i="5" s="1"/>
  <c r="V60" i="5" s="1"/>
  <c r="S60" i="5"/>
  <c r="T60" i="5" s="1"/>
  <c r="U60" i="5"/>
  <c r="Q61" i="5"/>
  <c r="R61" i="5"/>
  <c r="S61" i="5"/>
  <c r="T61" i="5" s="1"/>
  <c r="Q62" i="5"/>
  <c r="R62" i="5" s="1"/>
  <c r="Q63" i="5"/>
  <c r="V63" i="5" s="1"/>
  <c r="R63" i="5"/>
  <c r="S63" i="5"/>
  <c r="T63" i="5" s="1"/>
  <c r="Q64" i="5"/>
  <c r="R64" i="5" s="1"/>
  <c r="V64" i="5" s="1"/>
  <c r="S64" i="5"/>
  <c r="T64" i="5" s="1"/>
  <c r="U64" i="5"/>
  <c r="Q20" i="5"/>
  <c r="Q19" i="5"/>
  <c r="Q18" i="5"/>
  <c r="Q17" i="5"/>
  <c r="Q16" i="5"/>
  <c r="Q15" i="5"/>
  <c r="Q14" i="5"/>
  <c r="AX24" i="4"/>
  <c r="AX25" i="4"/>
  <c r="AX26" i="4"/>
  <c r="AX27" i="4"/>
  <c r="AX28" i="4"/>
  <c r="AX29" i="4"/>
  <c r="AX30" i="4"/>
  <c r="AX31" i="4"/>
  <c r="AX32" i="4"/>
  <c r="AX33" i="4"/>
  <c r="AX34" i="4"/>
  <c r="AX35" i="4"/>
  <c r="AV24" i="4"/>
  <c r="AV25" i="4"/>
  <c r="AV26" i="4"/>
  <c r="AV27" i="4"/>
  <c r="AV28" i="4"/>
  <c r="AV29" i="4"/>
  <c r="AV30" i="4"/>
  <c r="AV31" i="4"/>
  <c r="AV32" i="4"/>
  <c r="AV33" i="4"/>
  <c r="AV34" i="4"/>
  <c r="AV35" i="4"/>
  <c r="AT24" i="4"/>
  <c r="AT25" i="4"/>
  <c r="AT26" i="4"/>
  <c r="AT27" i="4"/>
  <c r="AT28" i="4"/>
  <c r="AT29" i="4"/>
  <c r="AT30" i="4"/>
  <c r="AT31" i="4"/>
  <c r="AO24" i="4"/>
  <c r="AO25" i="4"/>
  <c r="AO27" i="4"/>
  <c r="AO28" i="4"/>
  <c r="AO30" i="4"/>
  <c r="AO31" i="4"/>
  <c r="AO33" i="4"/>
  <c r="AO34" i="4"/>
  <c r="AO36" i="4"/>
  <c r="AO37" i="4"/>
  <c r="AO39" i="4"/>
  <c r="AO40" i="4"/>
  <c r="AO42" i="4"/>
  <c r="AO43" i="4"/>
  <c r="AO45" i="4"/>
  <c r="AO46" i="4"/>
  <c r="AG24"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F24" i="4"/>
  <c r="AF25" i="4"/>
  <c r="AF26" i="4"/>
  <c r="AF27" i="4"/>
  <c r="AF28" i="4"/>
  <c r="AF29" i="4"/>
  <c r="AF30" i="4"/>
  <c r="AF31" i="4"/>
  <c r="AF32" i="4"/>
  <c r="AF33" i="4"/>
  <c r="AF34" i="4"/>
  <c r="AF35" i="4"/>
  <c r="AF36" i="4"/>
  <c r="AF37" i="4"/>
  <c r="AF38" i="4"/>
  <c r="AF39" i="4"/>
  <c r="AF40" i="4"/>
  <c r="AF41" i="4"/>
  <c r="AF42" i="4"/>
  <c r="AF43" i="4"/>
  <c r="AF44" i="4"/>
  <c r="AF45" i="4"/>
  <c r="AF46" i="4"/>
  <c r="AF47" i="4"/>
  <c r="AF48" i="4"/>
  <c r="AF49" i="4"/>
  <c r="AF50" i="4"/>
  <c r="AF51" i="4"/>
  <c r="AF52" i="4"/>
  <c r="AF53" i="4"/>
  <c r="AE24" i="4"/>
  <c r="AE25" i="4"/>
  <c r="AE26" i="4"/>
  <c r="AE27" i="4"/>
  <c r="AE28" i="4"/>
  <c r="AE29" i="4"/>
  <c r="AE30" i="4"/>
  <c r="AE31" i="4"/>
  <c r="AE32" i="4"/>
  <c r="AE33" i="4"/>
  <c r="AE34" i="4"/>
  <c r="AE35" i="4"/>
  <c r="AE36" i="4"/>
  <c r="AE37" i="4"/>
  <c r="AE38" i="4"/>
  <c r="AE39" i="4"/>
  <c r="AE40" i="4"/>
  <c r="AE41" i="4"/>
  <c r="AE42" i="4"/>
  <c r="AE43" i="4"/>
  <c r="AE44" i="4"/>
  <c r="AE45" i="4"/>
  <c r="AE46" i="4"/>
  <c r="AE47" i="4"/>
  <c r="AE48" i="4"/>
  <c r="AE49" i="4"/>
  <c r="AE50" i="4"/>
  <c r="AE51" i="4"/>
  <c r="AE52" i="4"/>
  <c r="AE5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B24" i="4"/>
  <c r="AB25" i="4"/>
  <c r="AB26" i="4"/>
  <c r="AB27" i="4"/>
  <c r="AB28" i="4"/>
  <c r="AB29" i="4"/>
  <c r="AB30" i="4"/>
  <c r="AB31" i="4"/>
  <c r="AB32" i="4"/>
  <c r="AB33" i="4"/>
  <c r="AB34" i="4"/>
  <c r="AB35" i="4"/>
  <c r="AB36" i="4"/>
  <c r="AB37" i="4"/>
  <c r="AB38" i="4"/>
  <c r="AB39" i="4"/>
  <c r="AB40" i="4"/>
  <c r="AB41" i="4"/>
  <c r="AB42" i="4"/>
  <c r="AB43" i="4"/>
  <c r="AB44" i="4"/>
  <c r="AB45" i="4"/>
  <c r="AB46" i="4"/>
  <c r="AB47" i="4"/>
  <c r="AB48" i="4"/>
  <c r="AB49" i="4"/>
  <c r="AB50" i="4"/>
  <c r="AB51" i="4"/>
  <c r="AB52" i="4"/>
  <c r="AB53" i="4"/>
  <c r="AA24" i="4"/>
  <c r="AA25" i="4"/>
  <c r="AA26" i="4"/>
  <c r="AA27" i="4"/>
  <c r="AA28" i="4"/>
  <c r="AA29" i="4"/>
  <c r="AA30" i="4"/>
  <c r="AA31" i="4"/>
  <c r="AA32" i="4"/>
  <c r="AA33" i="4"/>
  <c r="AA34" i="4"/>
  <c r="AA35" i="4"/>
  <c r="AA36" i="4"/>
  <c r="AA37" i="4"/>
  <c r="AA38" i="4"/>
  <c r="AA39" i="4"/>
  <c r="AA40" i="4"/>
  <c r="AA41" i="4"/>
  <c r="AA42" i="4"/>
  <c r="AA43" i="4"/>
  <c r="AA44" i="4"/>
  <c r="AA45" i="4"/>
  <c r="AA46" i="4"/>
  <c r="AA47" i="4"/>
  <c r="AA48" i="4"/>
  <c r="AA49" i="4"/>
  <c r="AA50" i="4"/>
  <c r="AA51" i="4"/>
  <c r="AA52" i="4"/>
  <c r="AA53" i="4"/>
  <c r="Z24" i="4"/>
  <c r="Z25" i="4"/>
  <c r="Z26" i="4"/>
  <c r="Z27" i="4"/>
  <c r="Z28" i="4"/>
  <c r="Z29" i="4"/>
  <c r="Z30" i="4"/>
  <c r="Z31" i="4"/>
  <c r="Z32" i="4"/>
  <c r="Z33" i="4"/>
  <c r="Z34" i="4"/>
  <c r="Z35" i="4"/>
  <c r="Z36" i="4"/>
  <c r="Z37" i="4"/>
  <c r="Z38" i="4"/>
  <c r="Z39" i="4"/>
  <c r="Z40" i="4"/>
  <c r="Z41" i="4"/>
  <c r="Z42" i="4"/>
  <c r="Z43" i="4"/>
  <c r="Z44" i="4"/>
  <c r="Z45" i="4"/>
  <c r="Z46" i="4"/>
  <c r="Z47" i="4"/>
  <c r="Z48" i="4"/>
  <c r="Z49" i="4"/>
  <c r="Z50" i="4"/>
  <c r="Z51" i="4"/>
  <c r="Z52" i="4"/>
  <c r="Z53" i="4"/>
  <c r="Q24" i="4"/>
  <c r="R24" i="4" s="1"/>
  <c r="Q25" i="4"/>
  <c r="R25" i="4" s="1"/>
  <c r="V25" i="4" s="1"/>
  <c r="S25" i="4"/>
  <c r="T25" i="4"/>
  <c r="U25" i="4"/>
  <c r="Q26" i="4"/>
  <c r="R26" i="4" s="1"/>
  <c r="Q27" i="4"/>
  <c r="R27" i="4" s="1"/>
  <c r="Q28" i="4"/>
  <c r="R28" i="4"/>
  <c r="S28" i="4"/>
  <c r="T28" i="4" s="1"/>
  <c r="V28" i="4"/>
  <c r="W28" i="4" s="1"/>
  <c r="Q29" i="4"/>
  <c r="R29" i="4"/>
  <c r="Q30" i="4"/>
  <c r="S30" i="4" s="1"/>
  <c r="R30" i="4"/>
  <c r="Q31" i="4"/>
  <c r="R31" i="4" s="1"/>
  <c r="S31" i="4"/>
  <c r="T31" i="4" s="1"/>
  <c r="Q32" i="4"/>
  <c r="R32" i="4" s="1"/>
  <c r="Q33" i="4"/>
  <c r="R33" i="4" s="1"/>
  <c r="V33" i="4" s="1"/>
  <c r="S33" i="4"/>
  <c r="T33" i="4"/>
  <c r="U33" i="4"/>
  <c r="Q34" i="4"/>
  <c r="R34" i="4" s="1"/>
  <c r="Q35" i="4"/>
  <c r="R35" i="4" s="1"/>
  <c r="Q36" i="4"/>
  <c r="R36" i="4"/>
  <c r="S36" i="4"/>
  <c r="U36" i="4" s="1"/>
  <c r="T36" i="4"/>
  <c r="V36" i="4"/>
  <c r="W36" i="4" s="1"/>
  <c r="Q37" i="4"/>
  <c r="R37" i="4"/>
  <c r="Q38" i="4"/>
  <c r="S38" i="4" s="1"/>
  <c r="R38" i="4"/>
  <c r="Q39" i="4"/>
  <c r="R39" i="4" s="1"/>
  <c r="S39" i="4"/>
  <c r="T39" i="4" s="1"/>
  <c r="Q40" i="4"/>
  <c r="R40" i="4" s="1"/>
  <c r="Q41" i="4"/>
  <c r="R41" i="4" s="1"/>
  <c r="V41" i="4" s="1"/>
  <c r="S41" i="4"/>
  <c r="T41" i="4"/>
  <c r="U41" i="4"/>
  <c r="Q42" i="4"/>
  <c r="R42" i="4" s="1"/>
  <c r="Q43" i="4"/>
  <c r="R43" i="4" s="1"/>
  <c r="Q44" i="4"/>
  <c r="R44" i="4"/>
  <c r="S44" i="4"/>
  <c r="U44" i="4" s="1"/>
  <c r="T44" i="4"/>
  <c r="V44" i="4"/>
  <c r="W44" i="4" s="1"/>
  <c r="Q45" i="4"/>
  <c r="R45" i="4"/>
  <c r="Q46" i="4"/>
  <c r="S46" i="4" s="1"/>
  <c r="R46" i="4"/>
  <c r="Q47" i="4"/>
  <c r="R47" i="4" s="1"/>
  <c r="S47" i="4"/>
  <c r="T47" i="4" s="1"/>
  <c r="Q48" i="4"/>
  <c r="R48" i="4" s="1"/>
  <c r="Q49" i="4"/>
  <c r="R49" i="4" s="1"/>
  <c r="V49" i="4" s="1"/>
  <c r="S49" i="4"/>
  <c r="T49" i="4"/>
  <c r="U49" i="4"/>
  <c r="Q50" i="4"/>
  <c r="R50" i="4" s="1"/>
  <c r="Q51" i="4"/>
  <c r="R51" i="4" s="1"/>
  <c r="Q52" i="4"/>
  <c r="R52" i="4"/>
  <c r="S52" i="4"/>
  <c r="U52" i="4" s="1"/>
  <c r="T52" i="4"/>
  <c r="V52" i="4"/>
  <c r="W52" i="4" s="1"/>
  <c r="Q53" i="4"/>
  <c r="R53" i="4"/>
  <c r="Q20" i="4"/>
  <c r="Q19" i="4"/>
  <c r="Q18" i="4"/>
  <c r="Q17" i="4"/>
  <c r="Q16" i="4"/>
  <c r="Q15" i="4"/>
  <c r="Q14" i="4"/>
  <c r="AW24" i="3"/>
  <c r="AW25" i="3"/>
  <c r="AW26" i="3"/>
  <c r="AW27" i="3"/>
  <c r="AW28" i="3"/>
  <c r="AW29" i="3"/>
  <c r="AW30" i="3"/>
  <c r="AW31" i="3"/>
  <c r="AW32" i="3"/>
  <c r="AV24" i="3"/>
  <c r="AV25" i="3"/>
  <c r="AV26" i="3"/>
  <c r="AV27" i="3"/>
  <c r="AV28" i="3"/>
  <c r="AV29" i="3"/>
  <c r="AV30" i="3"/>
  <c r="AV31" i="3"/>
  <c r="AV32" i="3"/>
  <c r="AS24" i="3"/>
  <c r="AS25" i="3"/>
  <c r="AS26" i="3"/>
  <c r="AS27" i="3"/>
  <c r="AS28" i="3"/>
  <c r="AS29" i="3"/>
  <c r="AS30" i="3"/>
  <c r="AS31" i="3"/>
  <c r="AS32" i="3"/>
  <c r="AS33" i="3"/>
  <c r="AS34" i="3"/>
  <c r="AS35" i="3"/>
  <c r="AS36" i="3"/>
  <c r="AS37" i="3"/>
  <c r="AS38" i="3"/>
  <c r="AR24" i="3"/>
  <c r="AR25" i="3"/>
  <c r="AR26" i="3"/>
  <c r="AR27" i="3"/>
  <c r="AR28" i="3"/>
  <c r="AR29" i="3"/>
  <c r="AR30" i="3"/>
  <c r="AR31" i="3"/>
  <c r="AR32" i="3"/>
  <c r="AR33" i="3"/>
  <c r="AR34" i="3"/>
  <c r="AR35" i="3"/>
  <c r="AR36" i="3"/>
  <c r="AR37" i="3"/>
  <c r="AR38"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L26" i="3"/>
  <c r="AL29" i="3"/>
  <c r="AI26" i="3"/>
  <c r="AI29" i="3"/>
  <c r="AI32" i="3"/>
  <c r="AI35"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E90" i="3"/>
  <c r="AE91" i="3"/>
  <c r="AE92" i="3"/>
  <c r="AE93" i="3"/>
  <c r="AE94" i="3"/>
  <c r="AE95"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C24" i="3"/>
  <c r="AC25"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F72" i="3"/>
  <c r="AF73" i="3"/>
  <c r="AF74" i="3"/>
  <c r="AF75" i="3"/>
  <c r="AF76" i="3"/>
  <c r="AF77" i="3"/>
  <c r="AF78" i="3"/>
  <c r="AF79" i="3"/>
  <c r="AF80" i="3"/>
  <c r="AF81" i="3"/>
  <c r="AF82" i="3"/>
  <c r="AF83" i="3"/>
  <c r="AF84" i="3"/>
  <c r="AF85" i="3"/>
  <c r="AF86" i="3"/>
  <c r="AF87" i="3"/>
  <c r="AF88" i="3"/>
  <c r="AF89" i="3"/>
  <c r="AF90" i="3"/>
  <c r="AF91" i="3"/>
  <c r="AF92" i="3"/>
  <c r="AF93" i="3"/>
  <c r="AF94" i="3"/>
  <c r="AF95" i="3"/>
  <c r="Q24" i="3"/>
  <c r="R24" i="3" s="1"/>
  <c r="Q25" i="3"/>
  <c r="R25" i="3" s="1"/>
  <c r="W25" i="3"/>
  <c r="X25" i="3"/>
  <c r="Q26" i="3"/>
  <c r="W26" i="3" s="1"/>
  <c r="R26" i="3"/>
  <c r="Q27" i="3"/>
  <c r="R27" i="3" s="1"/>
  <c r="W27" i="3"/>
  <c r="X27" i="3"/>
  <c r="Q28" i="3"/>
  <c r="R28" i="3" s="1"/>
  <c r="V28" i="3" s="1"/>
  <c r="S28" i="3"/>
  <c r="T28" i="3" s="1"/>
  <c r="U28" i="3"/>
  <c r="Q29" i="3"/>
  <c r="R29" i="3"/>
  <c r="S29" i="3"/>
  <c r="T29" i="3" s="1"/>
  <c r="Q30" i="3"/>
  <c r="R30" i="3" s="1"/>
  <c r="S30" i="3"/>
  <c r="T30" i="3"/>
  <c r="U30" i="3"/>
  <c r="W30" i="3"/>
  <c r="Q31" i="3"/>
  <c r="V31" i="3" s="1"/>
  <c r="R31" i="3"/>
  <c r="S31" i="3"/>
  <c r="T31" i="3" s="1"/>
  <c r="Q32" i="3"/>
  <c r="R32" i="3" s="1"/>
  <c r="Q33" i="3"/>
  <c r="S33" i="3" s="1"/>
  <c r="R33" i="3"/>
  <c r="Q34" i="3"/>
  <c r="Q35" i="3"/>
  <c r="R35" i="3" s="1"/>
  <c r="Q36" i="3"/>
  <c r="R36" i="3" s="1"/>
  <c r="V36" i="3" s="1"/>
  <c r="S36" i="3"/>
  <c r="T36" i="3" s="1"/>
  <c r="U36" i="3"/>
  <c r="Q37" i="3"/>
  <c r="R37" i="3"/>
  <c r="S37" i="3"/>
  <c r="T37" i="3" s="1"/>
  <c r="Q38" i="3"/>
  <c r="R38" i="3" s="1"/>
  <c r="S38" i="3"/>
  <c r="T38" i="3"/>
  <c r="U38" i="3"/>
  <c r="W38" i="3"/>
  <c r="Q39" i="3"/>
  <c r="V39" i="3" s="1"/>
  <c r="R39" i="3"/>
  <c r="S39" i="3"/>
  <c r="T39" i="3" s="1"/>
  <c r="Q40" i="3"/>
  <c r="R40" i="3" s="1"/>
  <c r="Q41" i="3"/>
  <c r="S41" i="3" s="1"/>
  <c r="R41" i="3"/>
  <c r="Q42" i="3"/>
  <c r="Q43" i="3"/>
  <c r="R43" i="3" s="1"/>
  <c r="Q44" i="3"/>
  <c r="R44" i="3" s="1"/>
  <c r="V44" i="3" s="1"/>
  <c r="S44" i="3"/>
  <c r="T44" i="3" s="1"/>
  <c r="U44" i="3"/>
  <c r="Q45" i="3"/>
  <c r="R45" i="3"/>
  <c r="S45" i="3"/>
  <c r="T45" i="3" s="1"/>
  <c r="Q46" i="3"/>
  <c r="R46" i="3" s="1"/>
  <c r="S46" i="3"/>
  <c r="T46" i="3"/>
  <c r="U46" i="3"/>
  <c r="W46" i="3"/>
  <c r="Q47" i="3"/>
  <c r="V47" i="3" s="1"/>
  <c r="R47" i="3"/>
  <c r="S47" i="3"/>
  <c r="T47" i="3" s="1"/>
  <c r="Q48" i="3"/>
  <c r="R48" i="3" s="1"/>
  <c r="Q49" i="3"/>
  <c r="S49" i="3" s="1"/>
  <c r="R49" i="3"/>
  <c r="Q50" i="3"/>
  <c r="Q51" i="3"/>
  <c r="R51" i="3" s="1"/>
  <c r="Q52" i="3"/>
  <c r="R52" i="3" s="1"/>
  <c r="V52" i="3" s="1"/>
  <c r="S52" i="3"/>
  <c r="T52" i="3" s="1"/>
  <c r="U52" i="3"/>
  <c r="Q53" i="3"/>
  <c r="R53" i="3"/>
  <c r="S53" i="3"/>
  <c r="T53" i="3" s="1"/>
  <c r="Q54" i="3"/>
  <c r="R54" i="3" s="1"/>
  <c r="S54" i="3"/>
  <c r="T54" i="3"/>
  <c r="U54" i="3"/>
  <c r="W54" i="3"/>
  <c r="Q55" i="3"/>
  <c r="V55" i="3" s="1"/>
  <c r="Y55" i="3" s="1"/>
  <c r="R55" i="3"/>
  <c r="S55" i="3"/>
  <c r="T55" i="3" s="1"/>
  <c r="Q56" i="3"/>
  <c r="R56" i="3" s="1"/>
  <c r="Q57" i="3"/>
  <c r="S57" i="3" s="1"/>
  <c r="R57" i="3"/>
  <c r="Q58" i="3"/>
  <c r="Q59" i="3"/>
  <c r="R59" i="3" s="1"/>
  <c r="Q60" i="3"/>
  <c r="R60" i="3" s="1"/>
  <c r="V60" i="3" s="1"/>
  <c r="S60" i="3"/>
  <c r="T60" i="3" s="1"/>
  <c r="U60" i="3"/>
  <c r="Q61" i="3"/>
  <c r="R61" i="3"/>
  <c r="S61" i="3"/>
  <c r="T61" i="3" s="1"/>
  <c r="Q62" i="3"/>
  <c r="R62" i="3" s="1"/>
  <c r="S62" i="3"/>
  <c r="T62" i="3"/>
  <c r="U62" i="3"/>
  <c r="W62" i="3"/>
  <c r="Q63" i="3"/>
  <c r="V63" i="3" s="1"/>
  <c r="R63" i="3"/>
  <c r="S63" i="3"/>
  <c r="T63" i="3" s="1"/>
  <c r="Q64" i="3"/>
  <c r="R64" i="3" s="1"/>
  <c r="Q65" i="3"/>
  <c r="S65" i="3" s="1"/>
  <c r="R65" i="3"/>
  <c r="Q66" i="3"/>
  <c r="Q67" i="3"/>
  <c r="R67" i="3" s="1"/>
  <c r="Q68" i="3"/>
  <c r="R68" i="3" s="1"/>
  <c r="V68" i="3" s="1"/>
  <c r="Y68" i="3" s="1"/>
  <c r="S68" i="3"/>
  <c r="T68" i="3" s="1"/>
  <c r="U68" i="3"/>
  <c r="Q69" i="3"/>
  <c r="R69" i="3"/>
  <c r="S69" i="3"/>
  <c r="T69" i="3" s="1"/>
  <c r="Q70" i="3"/>
  <c r="R70" i="3" s="1"/>
  <c r="S70" i="3"/>
  <c r="T70" i="3"/>
  <c r="U70" i="3"/>
  <c r="W70" i="3"/>
  <c r="Q71" i="3"/>
  <c r="V71" i="3" s="1"/>
  <c r="R71" i="3"/>
  <c r="S71" i="3"/>
  <c r="T71" i="3" s="1"/>
  <c r="Q72" i="3"/>
  <c r="R72" i="3" s="1"/>
  <c r="Q73" i="3"/>
  <c r="S73" i="3" s="1"/>
  <c r="R73" i="3"/>
  <c r="Q74" i="3"/>
  <c r="Q75" i="3"/>
  <c r="R75" i="3" s="1"/>
  <c r="Q76" i="3"/>
  <c r="R76" i="3" s="1"/>
  <c r="V76" i="3" s="1"/>
  <c r="S76" i="3"/>
  <c r="T76" i="3" s="1"/>
  <c r="U76" i="3"/>
  <c r="Q77" i="3"/>
  <c r="R77" i="3"/>
  <c r="S77" i="3"/>
  <c r="T77" i="3" s="1"/>
  <c r="Q78" i="3"/>
  <c r="R78" i="3" s="1"/>
  <c r="S78" i="3"/>
  <c r="T78" i="3"/>
  <c r="U78" i="3"/>
  <c r="W78" i="3"/>
  <c r="Q79" i="3"/>
  <c r="V79" i="3" s="1"/>
  <c r="R79" i="3"/>
  <c r="S79" i="3"/>
  <c r="T79" i="3" s="1"/>
  <c r="Q80" i="3"/>
  <c r="R80" i="3" s="1"/>
  <c r="Q81" i="3"/>
  <c r="S81" i="3" s="1"/>
  <c r="R81" i="3"/>
  <c r="Q82" i="3"/>
  <c r="Q83" i="3"/>
  <c r="R83" i="3" s="1"/>
  <c r="Q84" i="3"/>
  <c r="R84" i="3" s="1"/>
  <c r="V84" i="3" s="1"/>
  <c r="S84" i="3"/>
  <c r="T84" i="3" s="1"/>
  <c r="U84" i="3"/>
  <c r="Q85" i="3"/>
  <c r="R85" i="3"/>
  <c r="S85" i="3"/>
  <c r="T85" i="3" s="1"/>
  <c r="Q86" i="3"/>
  <c r="R86" i="3" s="1"/>
  <c r="S86" i="3"/>
  <c r="T86" i="3"/>
  <c r="U86" i="3"/>
  <c r="W86" i="3"/>
  <c r="Q87" i="3"/>
  <c r="V87" i="3" s="1"/>
  <c r="R87" i="3"/>
  <c r="S87" i="3"/>
  <c r="T87" i="3" s="1"/>
  <c r="Q88" i="3"/>
  <c r="R88" i="3" s="1"/>
  <c r="Q89" i="3"/>
  <c r="S89" i="3" s="1"/>
  <c r="R89" i="3"/>
  <c r="Q90" i="3"/>
  <c r="Q91" i="3"/>
  <c r="R91" i="3" s="1"/>
  <c r="Q92" i="3"/>
  <c r="R92" i="3" s="1"/>
  <c r="V92" i="3" s="1"/>
  <c r="S92" i="3"/>
  <c r="T92" i="3" s="1"/>
  <c r="U92" i="3"/>
  <c r="Q93" i="3"/>
  <c r="R93" i="3"/>
  <c r="S93" i="3"/>
  <c r="T93" i="3" s="1"/>
  <c r="Q94" i="3"/>
  <c r="R94" i="3" s="1"/>
  <c r="S94" i="3"/>
  <c r="T94" i="3"/>
  <c r="U94" i="3"/>
  <c r="W94" i="3"/>
  <c r="Q95" i="3"/>
  <c r="V95" i="3" s="1"/>
  <c r="R95" i="3"/>
  <c r="S95" i="3"/>
  <c r="T95" i="3" s="1"/>
  <c r="Q20" i="3"/>
  <c r="Q19" i="3"/>
  <c r="Q18" i="3"/>
  <c r="Q17" i="3"/>
  <c r="Q16" i="3"/>
  <c r="Q15" i="3"/>
  <c r="Q14" i="3"/>
  <c r="B23" i="3"/>
  <c r="C23" i="3"/>
  <c r="D23" i="3"/>
  <c r="E23" i="3"/>
  <c r="F23" i="3"/>
  <c r="G23" i="3"/>
  <c r="H23" i="3"/>
  <c r="I23" i="3"/>
  <c r="J23" i="3"/>
  <c r="K23" i="3"/>
  <c r="L23" i="3"/>
  <c r="M23" i="3"/>
  <c r="B24" i="3"/>
  <c r="C24" i="3"/>
  <c r="D24" i="3"/>
  <c r="E24" i="3"/>
  <c r="F24" i="3"/>
  <c r="G24" i="3"/>
  <c r="H24" i="3"/>
  <c r="I24" i="3"/>
  <c r="J24" i="3"/>
  <c r="K24" i="3"/>
  <c r="L24" i="3"/>
  <c r="M24" i="3"/>
  <c r="B25" i="3"/>
  <c r="C25" i="3"/>
  <c r="D25" i="3"/>
  <c r="E25" i="3"/>
  <c r="F25" i="3"/>
  <c r="G25" i="3"/>
  <c r="H25" i="3"/>
  <c r="I25" i="3"/>
  <c r="J25" i="3"/>
  <c r="K25" i="3"/>
  <c r="L25" i="3"/>
  <c r="M25" i="3"/>
  <c r="B26" i="3"/>
  <c r="C26" i="3"/>
  <c r="D26" i="3"/>
  <c r="E26" i="3"/>
  <c r="F26" i="3"/>
  <c r="G26" i="3"/>
  <c r="H26" i="3"/>
  <c r="I26" i="3"/>
  <c r="J26" i="3"/>
  <c r="K26" i="3"/>
  <c r="L26" i="3"/>
  <c r="M26" i="3"/>
  <c r="B27" i="3"/>
  <c r="C27" i="3"/>
  <c r="D27" i="3"/>
  <c r="E27" i="3"/>
  <c r="F27" i="3"/>
  <c r="G27" i="3"/>
  <c r="H27" i="3"/>
  <c r="I27" i="3"/>
  <c r="J27" i="3"/>
  <c r="K27" i="3"/>
  <c r="L27" i="3"/>
  <c r="M27" i="3"/>
  <c r="B28" i="3"/>
  <c r="C28" i="3"/>
  <c r="D28" i="3"/>
  <c r="E28" i="3"/>
  <c r="F28" i="3"/>
  <c r="G28" i="3"/>
  <c r="H28" i="3"/>
  <c r="I28" i="3"/>
  <c r="J28" i="3"/>
  <c r="K28" i="3"/>
  <c r="L28" i="3"/>
  <c r="M28" i="3"/>
  <c r="B29" i="3"/>
  <c r="C29" i="3"/>
  <c r="D29" i="3"/>
  <c r="E29" i="3"/>
  <c r="F29" i="3"/>
  <c r="G29" i="3"/>
  <c r="H29" i="3"/>
  <c r="I29" i="3"/>
  <c r="J29" i="3"/>
  <c r="K29" i="3"/>
  <c r="L29" i="3"/>
  <c r="M29" i="3"/>
  <c r="B30" i="3"/>
  <c r="C30" i="3"/>
  <c r="D30" i="3"/>
  <c r="E30" i="3"/>
  <c r="F30" i="3"/>
  <c r="G30" i="3"/>
  <c r="H30" i="3"/>
  <c r="I30" i="3"/>
  <c r="J30" i="3"/>
  <c r="K30" i="3"/>
  <c r="L30" i="3"/>
  <c r="M30" i="3"/>
  <c r="B31" i="3"/>
  <c r="C31" i="3"/>
  <c r="D31" i="3"/>
  <c r="E31" i="3"/>
  <c r="F31" i="3"/>
  <c r="G31" i="3"/>
  <c r="H31" i="3"/>
  <c r="I31" i="3"/>
  <c r="J31" i="3"/>
  <c r="K31" i="3"/>
  <c r="L31" i="3"/>
  <c r="M31" i="3"/>
  <c r="B32" i="3"/>
  <c r="C32" i="3"/>
  <c r="D32" i="3"/>
  <c r="E32" i="3"/>
  <c r="F32" i="3"/>
  <c r="G32" i="3"/>
  <c r="H32" i="3"/>
  <c r="I32" i="3"/>
  <c r="J32" i="3"/>
  <c r="K32" i="3"/>
  <c r="L32" i="3"/>
  <c r="M32" i="3"/>
  <c r="B33" i="3"/>
  <c r="C33" i="3"/>
  <c r="D33" i="3"/>
  <c r="E33" i="3"/>
  <c r="F33" i="3"/>
  <c r="G33" i="3"/>
  <c r="H33" i="3"/>
  <c r="I33" i="3"/>
  <c r="J33" i="3"/>
  <c r="K33" i="3"/>
  <c r="L33" i="3"/>
  <c r="M33" i="3"/>
  <c r="B34" i="3"/>
  <c r="C34" i="3"/>
  <c r="D34" i="3"/>
  <c r="E34" i="3"/>
  <c r="F34" i="3"/>
  <c r="G34" i="3"/>
  <c r="H34" i="3"/>
  <c r="I34" i="3"/>
  <c r="J34" i="3"/>
  <c r="K34" i="3"/>
  <c r="L34" i="3"/>
  <c r="M34" i="3"/>
  <c r="B35" i="3"/>
  <c r="C35" i="3"/>
  <c r="D35" i="3"/>
  <c r="E35" i="3"/>
  <c r="F35" i="3"/>
  <c r="G35" i="3"/>
  <c r="H35" i="3"/>
  <c r="I35" i="3"/>
  <c r="J35" i="3"/>
  <c r="K35" i="3"/>
  <c r="L35" i="3"/>
  <c r="M35" i="3"/>
  <c r="B36" i="3"/>
  <c r="C36" i="3"/>
  <c r="D36" i="3"/>
  <c r="E36" i="3"/>
  <c r="F36" i="3"/>
  <c r="G36" i="3"/>
  <c r="H36" i="3"/>
  <c r="I36" i="3"/>
  <c r="J36" i="3"/>
  <c r="K36" i="3"/>
  <c r="L36" i="3"/>
  <c r="M36" i="3"/>
  <c r="B37" i="3"/>
  <c r="C37" i="3"/>
  <c r="D37" i="3"/>
  <c r="E37" i="3"/>
  <c r="F37" i="3"/>
  <c r="G37" i="3"/>
  <c r="H37" i="3"/>
  <c r="I37" i="3"/>
  <c r="J37" i="3"/>
  <c r="K37" i="3"/>
  <c r="L37" i="3"/>
  <c r="M37" i="3"/>
  <c r="AX24" i="2"/>
  <c r="AX25" i="2"/>
  <c r="AX26" i="2"/>
  <c r="AX27" i="2"/>
  <c r="AX28" i="2"/>
  <c r="AX29" i="2"/>
  <c r="AX30" i="2"/>
  <c r="AX31" i="2"/>
  <c r="AX32" i="2"/>
  <c r="AX33" i="2"/>
  <c r="AX34" i="2"/>
  <c r="AX35" i="2"/>
  <c r="AW24" i="2"/>
  <c r="AW25" i="2"/>
  <c r="AW26" i="2"/>
  <c r="AW27" i="2"/>
  <c r="AW28" i="2"/>
  <c r="AW29" i="2"/>
  <c r="AW30" i="2"/>
  <c r="AW31" i="2"/>
  <c r="AW32" i="2"/>
  <c r="AW33" i="2"/>
  <c r="AW34" i="2"/>
  <c r="AW35" i="2"/>
  <c r="AT24" i="2"/>
  <c r="AT25" i="2"/>
  <c r="AT26" i="2"/>
  <c r="AT27" i="2"/>
  <c r="AT28" i="2"/>
  <c r="AT29" i="2"/>
  <c r="AT30" i="2"/>
  <c r="AT31" i="2"/>
  <c r="AT32" i="2"/>
  <c r="AT33" i="2"/>
  <c r="AT34" i="2"/>
  <c r="AT35" i="2"/>
  <c r="AT36" i="2"/>
  <c r="AT37" i="2"/>
  <c r="AT38" i="2"/>
  <c r="AT39" i="2"/>
  <c r="AS24" i="2"/>
  <c r="AS25" i="2"/>
  <c r="AS26" i="2"/>
  <c r="AS27" i="2"/>
  <c r="AS28" i="2"/>
  <c r="AS29" i="2"/>
  <c r="AS30" i="2"/>
  <c r="AS31" i="2"/>
  <c r="AS32" i="2"/>
  <c r="AS33" i="2"/>
  <c r="AS34" i="2"/>
  <c r="AS35" i="2"/>
  <c r="AS36" i="2"/>
  <c r="AS37" i="2"/>
  <c r="AS38" i="2"/>
  <c r="AS39" i="2"/>
  <c r="AP24" i="2"/>
  <c r="AP25" i="2"/>
  <c r="AP26" i="2"/>
  <c r="AP27" i="2"/>
  <c r="AP28" i="2"/>
  <c r="AP29" i="2"/>
  <c r="AP30" i="2"/>
  <c r="AP31" i="2"/>
  <c r="AP32" i="2"/>
  <c r="AP33" i="2"/>
  <c r="AP34" i="2"/>
  <c r="AP35" i="2"/>
  <c r="AP36" i="2"/>
  <c r="AP37" i="2"/>
  <c r="AP38" i="2"/>
  <c r="AP39" i="2"/>
  <c r="AP40" i="2"/>
  <c r="AP41" i="2"/>
  <c r="AP42" i="2"/>
  <c r="AP43" i="2"/>
  <c r="AP44" i="2"/>
  <c r="AP45" i="2"/>
  <c r="AP46" i="2"/>
  <c r="AP47" i="2"/>
  <c r="AP48" i="2"/>
  <c r="AP49" i="2"/>
  <c r="AP50" i="2"/>
  <c r="AP51" i="2"/>
  <c r="AP52" i="2"/>
  <c r="AP53" i="2"/>
  <c r="AP54" i="2"/>
  <c r="AP55" i="2"/>
  <c r="AP56" i="2"/>
  <c r="AP57" i="2"/>
  <c r="AP58" i="2"/>
  <c r="AP59" i="2"/>
  <c r="AP60" i="2"/>
  <c r="AP61" i="2"/>
  <c r="AP62" i="2"/>
  <c r="AP63" i="2"/>
  <c r="AP64" i="2"/>
  <c r="AP65" i="2"/>
  <c r="AP66" i="2"/>
  <c r="AP67" i="2"/>
  <c r="AP68" i="2"/>
  <c r="AP69" i="2"/>
  <c r="AP70" i="2"/>
  <c r="AP71" i="2"/>
  <c r="AM26" i="2"/>
  <c r="AM29" i="2"/>
  <c r="AM32" i="2"/>
  <c r="AJ26" i="2"/>
  <c r="AJ29" i="2"/>
  <c r="AJ32"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Q24" i="2"/>
  <c r="R24" i="2"/>
  <c r="S24" i="2"/>
  <c r="T24" i="2"/>
  <c r="U24" i="2"/>
  <c r="V24" i="2"/>
  <c r="W24" i="2" s="1"/>
  <c r="Q25" i="2"/>
  <c r="R25" i="2" s="1"/>
  <c r="V25" i="2" s="1"/>
  <c r="S25" i="2"/>
  <c r="T25" i="2" s="1"/>
  <c r="U25" i="2"/>
  <c r="Q26" i="2"/>
  <c r="R26" i="2"/>
  <c r="S26" i="2"/>
  <c r="T26" i="2" s="1"/>
  <c r="V26" i="2"/>
  <c r="W26" i="2" s="1"/>
  <c r="Q27" i="2"/>
  <c r="R27" i="2" s="1"/>
  <c r="S27" i="2"/>
  <c r="T27" i="2" s="1"/>
  <c r="Q28" i="2"/>
  <c r="V28" i="2" s="1"/>
  <c r="R28" i="2"/>
  <c r="S28" i="2"/>
  <c r="T28" i="2" s="1"/>
  <c r="Q29" i="2"/>
  <c r="V29" i="2" s="1"/>
  <c r="R29" i="2"/>
  <c r="S29" i="2"/>
  <c r="T29" i="2" s="1"/>
  <c r="Q30" i="2"/>
  <c r="R30" i="2" s="1"/>
  <c r="Q31" i="2"/>
  <c r="R31" i="2" s="1"/>
  <c r="V31" i="2" s="1"/>
  <c r="S31" i="2"/>
  <c r="T31" i="2"/>
  <c r="U31" i="2"/>
  <c r="Q32" i="2"/>
  <c r="R32" i="2"/>
  <c r="S32" i="2"/>
  <c r="T32" i="2"/>
  <c r="U32" i="2"/>
  <c r="V32" i="2"/>
  <c r="W32" i="2" s="1"/>
  <c r="Q33" i="2"/>
  <c r="R33" i="2" s="1"/>
  <c r="V33" i="2" s="1"/>
  <c r="S33" i="2"/>
  <c r="T33" i="2" s="1"/>
  <c r="U33" i="2"/>
  <c r="Q34" i="2"/>
  <c r="R34" i="2"/>
  <c r="S34" i="2"/>
  <c r="T34" i="2" s="1"/>
  <c r="V34" i="2"/>
  <c r="W34" i="2" s="1"/>
  <c r="Q35" i="2"/>
  <c r="R35" i="2" s="1"/>
  <c r="S35" i="2"/>
  <c r="T35" i="2" s="1"/>
  <c r="Q36" i="2"/>
  <c r="V36" i="2" s="1"/>
  <c r="R36" i="2"/>
  <c r="S36" i="2"/>
  <c r="T36" i="2" s="1"/>
  <c r="Q37" i="2"/>
  <c r="V37" i="2" s="1"/>
  <c r="R37" i="2"/>
  <c r="S37" i="2"/>
  <c r="T37" i="2" s="1"/>
  <c r="Q38" i="2"/>
  <c r="R38" i="2" s="1"/>
  <c r="Q39" i="2"/>
  <c r="R39" i="2" s="1"/>
  <c r="V39" i="2" s="1"/>
  <c r="S39" i="2"/>
  <c r="T39" i="2"/>
  <c r="U39" i="2"/>
  <c r="Q40" i="2"/>
  <c r="R40" i="2"/>
  <c r="S40" i="2"/>
  <c r="T40" i="2"/>
  <c r="U40" i="2"/>
  <c r="V40" i="2"/>
  <c r="W40" i="2" s="1"/>
  <c r="Q41" i="2"/>
  <c r="R41" i="2" s="1"/>
  <c r="S41" i="2"/>
  <c r="T41" i="2" s="1"/>
  <c r="U41" i="2"/>
  <c r="Q42" i="2"/>
  <c r="R42" i="2"/>
  <c r="S42" i="2"/>
  <c r="T42" i="2" s="1"/>
  <c r="V42" i="2"/>
  <c r="Q43" i="2"/>
  <c r="R43" i="2" s="1"/>
  <c r="S43" i="2"/>
  <c r="T43" i="2" s="1"/>
  <c r="Q44" i="2"/>
  <c r="V44" i="2" s="1"/>
  <c r="R44" i="2"/>
  <c r="S44" i="2"/>
  <c r="T44" i="2" s="1"/>
  <c r="Q45" i="2"/>
  <c r="V45" i="2" s="1"/>
  <c r="R45" i="2"/>
  <c r="S45" i="2"/>
  <c r="T45" i="2" s="1"/>
  <c r="Q46" i="2"/>
  <c r="R46" i="2" s="1"/>
  <c r="Q47" i="2"/>
  <c r="R47" i="2" s="1"/>
  <c r="V47" i="2" s="1"/>
  <c r="S47" i="2"/>
  <c r="T47" i="2"/>
  <c r="U47" i="2"/>
  <c r="Q48" i="2"/>
  <c r="R48" i="2"/>
  <c r="S48" i="2"/>
  <c r="T48" i="2"/>
  <c r="U48" i="2"/>
  <c r="V48" i="2"/>
  <c r="W48" i="2" s="1"/>
  <c r="Q49" i="2"/>
  <c r="R49" i="2" s="1"/>
  <c r="V49" i="2" s="1"/>
  <c r="S49" i="2"/>
  <c r="T49" i="2" s="1"/>
  <c r="U49" i="2"/>
  <c r="Q50" i="2"/>
  <c r="R50" i="2"/>
  <c r="S50" i="2"/>
  <c r="T50" i="2" s="1"/>
  <c r="V50" i="2"/>
  <c r="W50" i="2" s="1"/>
  <c r="Q51" i="2"/>
  <c r="R51" i="2" s="1"/>
  <c r="S51" i="2"/>
  <c r="T51" i="2" s="1"/>
  <c r="Q52" i="2"/>
  <c r="V52" i="2" s="1"/>
  <c r="R52" i="2"/>
  <c r="S52" i="2"/>
  <c r="T52" i="2" s="1"/>
  <c r="Q53" i="2"/>
  <c r="V53" i="2" s="1"/>
  <c r="R53" i="2"/>
  <c r="S53" i="2"/>
  <c r="T53" i="2" s="1"/>
  <c r="Q54" i="2"/>
  <c r="R54" i="2" s="1"/>
  <c r="Q55" i="2"/>
  <c r="R55" i="2" s="1"/>
  <c r="V55" i="2" s="1"/>
  <c r="S55" i="2"/>
  <c r="T55" i="2"/>
  <c r="U55" i="2"/>
  <c r="Q56" i="2"/>
  <c r="R56" i="2"/>
  <c r="S56" i="2"/>
  <c r="T56" i="2"/>
  <c r="U56" i="2"/>
  <c r="V56" i="2"/>
  <c r="W56" i="2" s="1"/>
  <c r="Q57" i="2"/>
  <c r="R57" i="2" s="1"/>
  <c r="V57" i="2" s="1"/>
  <c r="S57" i="2"/>
  <c r="T57" i="2" s="1"/>
  <c r="U57" i="2"/>
  <c r="Q58" i="2"/>
  <c r="R58" i="2"/>
  <c r="S58" i="2"/>
  <c r="T58" i="2" s="1"/>
  <c r="V58" i="2"/>
  <c r="W58" i="2" s="1"/>
  <c r="Q59" i="2"/>
  <c r="R59" i="2" s="1"/>
  <c r="S59" i="2"/>
  <c r="T59" i="2" s="1"/>
  <c r="Q60" i="2"/>
  <c r="V60" i="2" s="1"/>
  <c r="R60" i="2"/>
  <c r="S60" i="2"/>
  <c r="T60" i="2" s="1"/>
  <c r="Q61" i="2"/>
  <c r="V61" i="2" s="1"/>
  <c r="R61" i="2"/>
  <c r="S61" i="2"/>
  <c r="T61" i="2" s="1"/>
  <c r="Q62" i="2"/>
  <c r="R62" i="2" s="1"/>
  <c r="Q63" i="2"/>
  <c r="R63" i="2" s="1"/>
  <c r="V63" i="2" s="1"/>
  <c r="S63" i="2"/>
  <c r="T63" i="2"/>
  <c r="U63" i="2"/>
  <c r="Q64" i="2"/>
  <c r="R64" i="2"/>
  <c r="S64" i="2"/>
  <c r="T64" i="2"/>
  <c r="U64" i="2"/>
  <c r="V64" i="2"/>
  <c r="W64" i="2" s="1"/>
  <c r="Q65" i="2"/>
  <c r="R65" i="2" s="1"/>
  <c r="V65" i="2" s="1"/>
  <c r="S65" i="2"/>
  <c r="T65" i="2"/>
  <c r="U65" i="2"/>
  <c r="Q66" i="2"/>
  <c r="R66" i="2"/>
  <c r="S66" i="2"/>
  <c r="T66" i="2" s="1"/>
  <c r="V66" i="2"/>
  <c r="W66" i="2" s="1"/>
  <c r="Q67" i="2"/>
  <c r="R67" i="2" s="1"/>
  <c r="S67" i="2"/>
  <c r="T67" i="2" s="1"/>
  <c r="Q68" i="2"/>
  <c r="V68" i="2" s="1"/>
  <c r="R68" i="2"/>
  <c r="S68" i="2"/>
  <c r="T68" i="2" s="1"/>
  <c r="Q69" i="2"/>
  <c r="V69" i="2" s="1"/>
  <c r="R69" i="2"/>
  <c r="S69" i="2"/>
  <c r="T69" i="2" s="1"/>
  <c r="Q70" i="2"/>
  <c r="R70" i="2" s="1"/>
  <c r="Q71" i="2"/>
  <c r="R71" i="2" s="1"/>
  <c r="V71" i="2" s="1"/>
  <c r="S71" i="2"/>
  <c r="T71" i="2"/>
  <c r="U71" i="2"/>
  <c r="Q72" i="2"/>
  <c r="R72" i="2"/>
  <c r="S72" i="2"/>
  <c r="T72" i="2"/>
  <c r="U72" i="2"/>
  <c r="V72" i="2"/>
  <c r="W72" i="2" s="1"/>
  <c r="Q73" i="2"/>
  <c r="R73" i="2" s="1"/>
  <c r="V73" i="2" s="1"/>
  <c r="S73" i="2"/>
  <c r="T73" i="2" s="1"/>
  <c r="U73" i="2"/>
  <c r="Q74" i="2"/>
  <c r="R74" i="2"/>
  <c r="S74" i="2"/>
  <c r="T74" i="2" s="1"/>
  <c r="V74" i="2"/>
  <c r="W74" i="2" s="1"/>
  <c r="Q75" i="2"/>
  <c r="V75" i="2" s="1"/>
  <c r="R75" i="2"/>
  <c r="S75" i="2"/>
  <c r="T75" i="2" s="1"/>
  <c r="Q76" i="2"/>
  <c r="V76" i="2" s="1"/>
  <c r="R76" i="2"/>
  <c r="S76" i="2"/>
  <c r="T76" i="2" s="1"/>
  <c r="Q77" i="2"/>
  <c r="V77" i="2" s="1"/>
  <c r="R77" i="2"/>
  <c r="S77" i="2"/>
  <c r="T77" i="2" s="1"/>
  <c r="Q20" i="2"/>
  <c r="Q19" i="2"/>
  <c r="Q18" i="2"/>
  <c r="Q17" i="2"/>
  <c r="Q16" i="2"/>
  <c r="Q15" i="2"/>
  <c r="Q14" i="2"/>
  <c r="AU24" i="1"/>
  <c r="AU25" i="1"/>
  <c r="AU26" i="1"/>
  <c r="AU27" i="1"/>
  <c r="AU28" i="1"/>
  <c r="AU29" i="1"/>
  <c r="AU30" i="1"/>
  <c r="AU31" i="1"/>
  <c r="AU32" i="1"/>
  <c r="AU33" i="1"/>
  <c r="AU34" i="1"/>
  <c r="AU35" i="1"/>
  <c r="AU36" i="1"/>
  <c r="AU37" i="1"/>
  <c r="AU38" i="1"/>
  <c r="AT24" i="1"/>
  <c r="AT25" i="1"/>
  <c r="AT26" i="1"/>
  <c r="AT27" i="1"/>
  <c r="AT28" i="1"/>
  <c r="AT29" i="1"/>
  <c r="AT30" i="1"/>
  <c r="AT31" i="1"/>
  <c r="AT32" i="1"/>
  <c r="AT33" i="1"/>
  <c r="AT34" i="1"/>
  <c r="AT35" i="1"/>
  <c r="AT36" i="1"/>
  <c r="AT37" i="1"/>
  <c r="AT38" i="1"/>
  <c r="AQ24" i="1"/>
  <c r="AQ25" i="1"/>
  <c r="AQ26" i="1"/>
  <c r="AQ27" i="1"/>
  <c r="AQ28" i="1"/>
  <c r="AQ29" i="1"/>
  <c r="AQ30" i="1"/>
  <c r="AQ31" i="1"/>
  <c r="AQ32" i="1"/>
  <c r="AQ33" i="1"/>
  <c r="AQ34" i="1"/>
  <c r="AQ35" i="1"/>
  <c r="AQ36" i="1"/>
  <c r="AQ37" i="1"/>
  <c r="AQ38" i="1"/>
  <c r="AQ39" i="1"/>
  <c r="AQ40" i="1"/>
  <c r="AQ41" i="1"/>
  <c r="AQ42" i="1"/>
  <c r="AQ43" i="1"/>
  <c r="AP24" i="1"/>
  <c r="AP25" i="1"/>
  <c r="AP26" i="1"/>
  <c r="AP27" i="1"/>
  <c r="AP28" i="1"/>
  <c r="AP29" i="1"/>
  <c r="AP30" i="1"/>
  <c r="AP31" i="1"/>
  <c r="AP32" i="1"/>
  <c r="AP33" i="1"/>
  <c r="AP34" i="1"/>
  <c r="AP35" i="1"/>
  <c r="AP36" i="1"/>
  <c r="AP37" i="1"/>
  <c r="AP38" i="1"/>
  <c r="AP39" i="1"/>
  <c r="AP40" i="1"/>
  <c r="AP41" i="1"/>
  <c r="AP42" i="1"/>
  <c r="AP4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M60" i="1"/>
  <c r="AM61" i="1"/>
  <c r="AM62" i="1"/>
  <c r="AM63" i="1"/>
  <c r="AM64" i="1"/>
  <c r="AM65" i="1"/>
  <c r="AM66" i="1"/>
  <c r="AM67" i="1"/>
  <c r="AM68" i="1"/>
  <c r="AM69" i="1"/>
  <c r="AM70" i="1"/>
  <c r="AM71" i="1"/>
  <c r="AM72" i="1"/>
  <c r="AM73" i="1"/>
  <c r="AM74" i="1"/>
  <c r="AM75" i="1"/>
  <c r="AM76" i="1"/>
  <c r="AM77" i="1"/>
  <c r="AM78" i="1"/>
  <c r="AM79" i="1"/>
  <c r="AM80" i="1"/>
  <c r="AM81" i="1"/>
  <c r="AM82" i="1"/>
  <c r="AM83" i="1"/>
  <c r="AJ26" i="1"/>
  <c r="AJ29" i="1"/>
  <c r="AJ32" i="1"/>
  <c r="AJ35" i="1"/>
  <c r="AG26" i="1"/>
  <c r="AG29" i="1"/>
  <c r="AG32"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Q24" i="1"/>
  <c r="R24" i="1"/>
  <c r="S24" i="1"/>
  <c r="T24" i="1" s="1"/>
  <c r="Q25" i="1"/>
  <c r="R25" i="1" s="1"/>
  <c r="Q26" i="1"/>
  <c r="R26" i="1" s="1"/>
  <c r="Q27" i="1"/>
  <c r="R27" i="1" s="1"/>
  <c r="Q28" i="1"/>
  <c r="R28" i="1" s="1"/>
  <c r="V28" i="1" s="1"/>
  <c r="S28" i="1"/>
  <c r="U28" i="1" s="1"/>
  <c r="Q29" i="1"/>
  <c r="V29" i="1" s="1"/>
  <c r="R29" i="1"/>
  <c r="S29" i="1"/>
  <c r="T29" i="1" s="1"/>
  <c r="Q30" i="1"/>
  <c r="R30" i="1" s="1"/>
  <c r="Q31" i="1"/>
  <c r="R31" i="1"/>
  <c r="S31" i="1"/>
  <c r="T31" i="1"/>
  <c r="U31" i="1"/>
  <c r="V31" i="1"/>
  <c r="W31" i="1"/>
  <c r="Y31" i="1" s="1"/>
  <c r="X31" i="1"/>
  <c r="Q32" i="1"/>
  <c r="R32" i="1" s="1"/>
  <c r="Q33" i="1"/>
  <c r="R33" i="1" s="1"/>
  <c r="Q34" i="1"/>
  <c r="R34" i="1"/>
  <c r="S34" i="1"/>
  <c r="T34" i="1"/>
  <c r="U34" i="1"/>
  <c r="V34" i="1"/>
  <c r="W34" i="1" s="1"/>
  <c r="Q35" i="1"/>
  <c r="R35" i="1" s="1"/>
  <c r="Q36" i="1"/>
  <c r="R36" i="1" s="1"/>
  <c r="V36" i="1" s="1"/>
  <c r="S36" i="1"/>
  <c r="U36" i="1" s="1"/>
  <c r="Q37" i="1"/>
  <c r="V37" i="1" s="1"/>
  <c r="R37" i="1"/>
  <c r="S37" i="1"/>
  <c r="T37" i="1" s="1"/>
  <c r="Q38" i="1"/>
  <c r="R38" i="1" s="1"/>
  <c r="Q39" i="1"/>
  <c r="R39" i="1"/>
  <c r="S39" i="1"/>
  <c r="T39" i="1"/>
  <c r="U39" i="1"/>
  <c r="V39" i="1"/>
  <c r="W39" i="1"/>
  <c r="X39" i="1"/>
  <c r="Y39" i="1"/>
  <c r="Q40" i="1"/>
  <c r="R40" i="1" s="1"/>
  <c r="Q41" i="1"/>
  <c r="R41" i="1" s="1"/>
  <c r="Q42" i="1"/>
  <c r="R42" i="1"/>
  <c r="S42" i="1"/>
  <c r="T42" i="1"/>
  <c r="U42" i="1"/>
  <c r="V42" i="1"/>
  <c r="W42" i="1" s="1"/>
  <c r="Q43" i="1"/>
  <c r="R43" i="1" s="1"/>
  <c r="Q44" i="1"/>
  <c r="R44" i="1" s="1"/>
  <c r="S44" i="1"/>
  <c r="U44" i="1" s="1"/>
  <c r="Q45" i="1"/>
  <c r="V45" i="1" s="1"/>
  <c r="R45" i="1"/>
  <c r="S45" i="1"/>
  <c r="T45" i="1" s="1"/>
  <c r="Q46" i="1"/>
  <c r="R46" i="1" s="1"/>
  <c r="Q47" i="1"/>
  <c r="R47" i="1"/>
  <c r="S47" i="1"/>
  <c r="T47" i="1"/>
  <c r="U47" i="1"/>
  <c r="V47" i="1"/>
  <c r="W47" i="1"/>
  <c r="Y47" i="1" s="1"/>
  <c r="X47" i="1"/>
  <c r="Q48" i="1"/>
  <c r="R48" i="1" s="1"/>
  <c r="Q49" i="1"/>
  <c r="R49" i="1" s="1"/>
  <c r="Q50" i="1"/>
  <c r="R50" i="1"/>
  <c r="S50" i="1"/>
  <c r="T50" i="1"/>
  <c r="U50" i="1"/>
  <c r="V50" i="1"/>
  <c r="W50" i="1" s="1"/>
  <c r="Q51" i="1"/>
  <c r="R51" i="1" s="1"/>
  <c r="Q52" i="1"/>
  <c r="R52" i="1" s="1"/>
  <c r="S52" i="1"/>
  <c r="V52" i="1" s="1"/>
  <c r="Q53" i="1"/>
  <c r="V53" i="1" s="1"/>
  <c r="R53" i="1"/>
  <c r="S53" i="1"/>
  <c r="T53" i="1" s="1"/>
  <c r="Q54" i="1"/>
  <c r="R54" i="1" s="1"/>
  <c r="Q55" i="1"/>
  <c r="R55" i="1"/>
  <c r="S55" i="1"/>
  <c r="T55" i="1"/>
  <c r="U55" i="1"/>
  <c r="V55" i="1"/>
  <c r="W55" i="1"/>
  <c r="Y55" i="1" s="1"/>
  <c r="X55" i="1"/>
  <c r="Q56" i="1"/>
  <c r="R56" i="1" s="1"/>
  <c r="Q57" i="1"/>
  <c r="R57" i="1" s="1"/>
  <c r="Q58" i="1"/>
  <c r="R58" i="1"/>
  <c r="S58" i="1"/>
  <c r="T58" i="1"/>
  <c r="U58" i="1"/>
  <c r="V58" i="1"/>
  <c r="W58" i="1" s="1"/>
  <c r="Q59" i="1"/>
  <c r="R59" i="1" s="1"/>
  <c r="Q60" i="1"/>
  <c r="R60" i="1" s="1"/>
  <c r="V60" i="1" s="1"/>
  <c r="S60" i="1"/>
  <c r="U60" i="1" s="1"/>
  <c r="Q61" i="1"/>
  <c r="V61" i="1" s="1"/>
  <c r="R61" i="1"/>
  <c r="S61" i="1"/>
  <c r="T61" i="1" s="1"/>
  <c r="Q62" i="1"/>
  <c r="R62" i="1" s="1"/>
  <c r="Q63" i="1"/>
  <c r="R63" i="1"/>
  <c r="S63" i="1"/>
  <c r="T63" i="1"/>
  <c r="U63" i="1"/>
  <c r="V63" i="1"/>
  <c r="W63" i="1"/>
  <c r="Y63" i="1" s="1"/>
  <c r="X63" i="1"/>
  <c r="Q64" i="1"/>
  <c r="R64" i="1" s="1"/>
  <c r="Q65" i="1"/>
  <c r="R65" i="1" s="1"/>
  <c r="S65" i="1"/>
  <c r="V65" i="1" s="1"/>
  <c r="Q66" i="1"/>
  <c r="R66" i="1"/>
  <c r="S66" i="1"/>
  <c r="T66" i="1"/>
  <c r="U66" i="1"/>
  <c r="V66" i="1"/>
  <c r="W66" i="1" s="1"/>
  <c r="Q67" i="1"/>
  <c r="R67" i="1" s="1"/>
  <c r="Q68" i="1"/>
  <c r="R68" i="1"/>
  <c r="S68" i="1"/>
  <c r="U68" i="1" s="1"/>
  <c r="V68" i="1"/>
  <c r="Q69" i="1"/>
  <c r="V69" i="1" s="1"/>
  <c r="R69" i="1"/>
  <c r="S69" i="1"/>
  <c r="T69" i="1" s="1"/>
  <c r="Q70" i="1"/>
  <c r="R70" i="1" s="1"/>
  <c r="Q71" i="1"/>
  <c r="R71" i="1"/>
  <c r="S71" i="1"/>
  <c r="T71" i="1"/>
  <c r="U71" i="1"/>
  <c r="V71" i="1"/>
  <c r="W71" i="1"/>
  <c r="Y71" i="1" s="1"/>
  <c r="X71" i="1"/>
  <c r="Q72" i="1"/>
  <c r="R72" i="1" s="1"/>
  <c r="Q73" i="1"/>
  <c r="R73" i="1" s="1"/>
  <c r="Q74" i="1"/>
  <c r="R74" i="1"/>
  <c r="S74" i="1"/>
  <c r="T74" i="1"/>
  <c r="U74" i="1"/>
  <c r="V74" i="1"/>
  <c r="W74" i="1" s="1"/>
  <c r="Q75" i="1"/>
  <c r="R75" i="1" s="1"/>
  <c r="Q76" i="1"/>
  <c r="R76" i="1" s="1"/>
  <c r="V76" i="1" s="1"/>
  <c r="S76" i="1"/>
  <c r="T76" i="1" s="1"/>
  <c r="Q77" i="1"/>
  <c r="V77" i="1" s="1"/>
  <c r="R77" i="1"/>
  <c r="S77" i="1"/>
  <c r="T77" i="1" s="1"/>
  <c r="Q20" i="1"/>
  <c r="Q19" i="1"/>
  <c r="Q18" i="1"/>
  <c r="Q17" i="1"/>
  <c r="Q16" i="1"/>
  <c r="Q15" i="1"/>
  <c r="Q14" i="1"/>
  <c r="AI47" i="6" l="1"/>
  <c r="AJ47" i="6"/>
  <c r="AF46" i="6"/>
  <c r="AG46" i="6"/>
  <c r="AI35" i="6"/>
  <c r="AJ35" i="6"/>
  <c r="AK35" i="6"/>
  <c r="AI56" i="6"/>
  <c r="AJ56" i="6"/>
  <c r="AK56" i="6"/>
  <c r="AI55" i="6"/>
  <c r="AJ55" i="6"/>
  <c r="AK55" i="6"/>
  <c r="AI32" i="6"/>
  <c r="AJ32" i="6"/>
  <c r="AK32" i="6"/>
  <c r="AF54" i="6"/>
  <c r="AG54" i="6"/>
  <c r="AI43" i="6"/>
  <c r="AK43" i="6" s="1"/>
  <c r="AJ43" i="6"/>
  <c r="AI31" i="6"/>
  <c r="AJ31" i="6"/>
  <c r="AI64" i="6"/>
  <c r="AJ64" i="6"/>
  <c r="AK64" i="6"/>
  <c r="AI63" i="6"/>
  <c r="AK63" i="6" s="1"/>
  <c r="AJ63" i="6"/>
  <c r="AI40" i="6"/>
  <c r="AJ40" i="6"/>
  <c r="AK40" i="6"/>
  <c r="AF62" i="6"/>
  <c r="AG62" i="6"/>
  <c r="AI51" i="6"/>
  <c r="AJ51" i="6"/>
  <c r="AK51" i="6"/>
  <c r="AH61" i="6"/>
  <c r="AI39" i="6"/>
  <c r="AJ39" i="6"/>
  <c r="AK39" i="6"/>
  <c r="AI27" i="6"/>
  <c r="AK27" i="6" s="1"/>
  <c r="AJ27" i="6"/>
  <c r="AF38" i="6"/>
  <c r="AG38" i="6"/>
  <c r="AI48" i="6"/>
  <c r="AJ48" i="6"/>
  <c r="AK48" i="6"/>
  <c r="AI59" i="6"/>
  <c r="AK59" i="6" s="1"/>
  <c r="AJ59" i="6"/>
  <c r="AI24" i="6"/>
  <c r="AJ24" i="6"/>
  <c r="AK24" i="6"/>
  <c r="AE61" i="6"/>
  <c r="AH58" i="6"/>
  <c r="AE53" i="6"/>
  <c r="AH53" i="6" s="1"/>
  <c r="AH50" i="6"/>
  <c r="AE45" i="6"/>
  <c r="AH42" i="6"/>
  <c r="AE37" i="6"/>
  <c r="AH34" i="6"/>
  <c r="AE29" i="6"/>
  <c r="AH26" i="6"/>
  <c r="AD61" i="6"/>
  <c r="AD53" i="6"/>
  <c r="AD45" i="6"/>
  <c r="AD37" i="6"/>
  <c r="AD29" i="6"/>
  <c r="AE58" i="6"/>
  <c r="AE50" i="6"/>
  <c r="AE42" i="6"/>
  <c r="AE34" i="6"/>
  <c r="AE26" i="6"/>
  <c r="AG63" i="6"/>
  <c r="AG55" i="6"/>
  <c r="AG47" i="6"/>
  <c r="AK47" i="6" s="1"/>
  <c r="AG39" i="6"/>
  <c r="AG31" i="6"/>
  <c r="AK31" i="6" s="1"/>
  <c r="AE60" i="6"/>
  <c r="AE52" i="6"/>
  <c r="AE44" i="6"/>
  <c r="AE36" i="6"/>
  <c r="AE28" i="6"/>
  <c r="AH62" i="6"/>
  <c r="AE57" i="6"/>
  <c r="AH54" i="6"/>
  <c r="AE49" i="6"/>
  <c r="AH46" i="6"/>
  <c r="AE41" i="6"/>
  <c r="AH38" i="6"/>
  <c r="AE33" i="6"/>
  <c r="AE25" i="6"/>
  <c r="AE30" i="6"/>
  <c r="AH30" i="6" s="1"/>
  <c r="W32" i="5"/>
  <c r="Y32" i="5" s="1"/>
  <c r="X32" i="5"/>
  <c r="W40" i="5"/>
  <c r="X40" i="5"/>
  <c r="Y40" i="5"/>
  <c r="X31" i="5"/>
  <c r="W31" i="5"/>
  <c r="Y31" i="5" s="1"/>
  <c r="W48" i="5"/>
  <c r="X48" i="5"/>
  <c r="Y48" i="5"/>
  <c r="X39" i="5"/>
  <c r="W39" i="5"/>
  <c r="Y39" i="5"/>
  <c r="W56" i="5"/>
  <c r="Y56" i="5" s="1"/>
  <c r="X56" i="5"/>
  <c r="X47" i="5"/>
  <c r="Y47" i="5"/>
  <c r="W47" i="5"/>
  <c r="W29" i="5"/>
  <c r="Y29" i="5" s="1"/>
  <c r="X29" i="5"/>
  <c r="W64" i="5"/>
  <c r="X64" i="5"/>
  <c r="Y64" i="5"/>
  <c r="X55" i="5"/>
  <c r="W55" i="5"/>
  <c r="Y55" i="5" s="1"/>
  <c r="W37" i="5"/>
  <c r="Y37" i="5" s="1"/>
  <c r="X37" i="5"/>
  <c r="W28" i="5"/>
  <c r="X28" i="5"/>
  <c r="Y28" i="5"/>
  <c r="X63" i="5"/>
  <c r="W63" i="5"/>
  <c r="Y63" i="5" s="1"/>
  <c r="W45" i="5"/>
  <c r="Y45" i="5" s="1"/>
  <c r="X45" i="5"/>
  <c r="W36" i="5"/>
  <c r="Y36" i="5" s="1"/>
  <c r="X36" i="5"/>
  <c r="W27" i="5"/>
  <c r="Y27" i="5" s="1"/>
  <c r="X27" i="5"/>
  <c r="W44" i="5"/>
  <c r="X44" i="5"/>
  <c r="Y44" i="5"/>
  <c r="W35" i="5"/>
  <c r="X35" i="5"/>
  <c r="Y35" i="5"/>
  <c r="W52" i="5"/>
  <c r="X52" i="5"/>
  <c r="Y52" i="5"/>
  <c r="W43" i="5"/>
  <c r="X43" i="5"/>
  <c r="Y43" i="5"/>
  <c r="W60" i="5"/>
  <c r="X60" i="5"/>
  <c r="Y60" i="5"/>
  <c r="W51" i="5"/>
  <c r="Y51" i="5" s="1"/>
  <c r="X51" i="5"/>
  <c r="W59" i="5"/>
  <c r="X59" i="5"/>
  <c r="Y59" i="5"/>
  <c r="W49" i="5"/>
  <c r="W24" i="5"/>
  <c r="X24" i="5"/>
  <c r="Y24" i="5"/>
  <c r="S58" i="5"/>
  <c r="S50" i="5"/>
  <c r="S42" i="5"/>
  <c r="S34" i="5"/>
  <c r="S26" i="5"/>
  <c r="U63" i="5"/>
  <c r="U55" i="5"/>
  <c r="U47" i="5"/>
  <c r="U39" i="5"/>
  <c r="U31" i="5"/>
  <c r="U57" i="5"/>
  <c r="Y57" i="5" s="1"/>
  <c r="U49" i="5"/>
  <c r="U41" i="5"/>
  <c r="Y41" i="5" s="1"/>
  <c r="U33" i="5"/>
  <c r="Y33" i="5" s="1"/>
  <c r="U25" i="5"/>
  <c r="S62" i="5"/>
  <c r="S54" i="5"/>
  <c r="S46" i="5"/>
  <c r="S38" i="5"/>
  <c r="S30" i="5"/>
  <c r="U59" i="5"/>
  <c r="U51" i="5"/>
  <c r="U43" i="5"/>
  <c r="U35" i="5"/>
  <c r="U27" i="5"/>
  <c r="V61" i="5"/>
  <c r="V53" i="5"/>
  <c r="U61" i="5"/>
  <c r="U53" i="5"/>
  <c r="U45" i="5"/>
  <c r="U37" i="5"/>
  <c r="U29" i="5"/>
  <c r="W33" i="4"/>
  <c r="X33" i="4"/>
  <c r="Y33" i="4"/>
  <c r="T30" i="4"/>
  <c r="U30" i="4"/>
  <c r="V30" i="4"/>
  <c r="W41" i="4"/>
  <c r="X41" i="4"/>
  <c r="Y41" i="4"/>
  <c r="T38" i="4"/>
  <c r="U38" i="4"/>
  <c r="V38" i="4"/>
  <c r="Y49" i="4"/>
  <c r="W49" i="4"/>
  <c r="X49" i="4"/>
  <c r="V37" i="4"/>
  <c r="T46" i="4"/>
  <c r="U46" i="4"/>
  <c r="V46" i="4"/>
  <c r="W25" i="4"/>
  <c r="X25" i="4"/>
  <c r="Y25" i="4"/>
  <c r="S53" i="4"/>
  <c r="V53" i="4" s="1"/>
  <c r="V50" i="4"/>
  <c r="S45" i="4"/>
  <c r="S37" i="4"/>
  <c r="S29" i="4"/>
  <c r="V29" i="4" s="1"/>
  <c r="Y52" i="4"/>
  <c r="S50" i="4"/>
  <c r="V47" i="4"/>
  <c r="Y44" i="4"/>
  <c r="S42" i="4"/>
  <c r="V39" i="4"/>
  <c r="Y36" i="4"/>
  <c r="S34" i="4"/>
  <c r="V31" i="4"/>
  <c r="Y28" i="4"/>
  <c r="S26" i="4"/>
  <c r="V26" i="4" s="1"/>
  <c r="X52" i="4"/>
  <c r="U47" i="4"/>
  <c r="X44" i="4"/>
  <c r="U39" i="4"/>
  <c r="X36" i="4"/>
  <c r="U31" i="4"/>
  <c r="X28" i="4"/>
  <c r="U28" i="4"/>
  <c r="V51" i="4"/>
  <c r="S51" i="4"/>
  <c r="S43" i="4"/>
  <c r="S35" i="4"/>
  <c r="S27" i="4"/>
  <c r="S48" i="4"/>
  <c r="S40" i="4"/>
  <c r="V40" i="4" s="1"/>
  <c r="S32" i="4"/>
  <c r="S24" i="4"/>
  <c r="V94" i="3"/>
  <c r="Y94" i="3" s="1"/>
  <c r="X94" i="3"/>
  <c r="T73" i="3"/>
  <c r="U73" i="3"/>
  <c r="V73" i="3"/>
  <c r="Y73" i="3" s="1"/>
  <c r="W73" i="3"/>
  <c r="X73" i="3"/>
  <c r="W82" i="3"/>
  <c r="V62" i="3"/>
  <c r="Y62" i="3" s="1"/>
  <c r="X62" i="3"/>
  <c r="T41" i="3"/>
  <c r="U41" i="3"/>
  <c r="V41" i="3"/>
  <c r="Y41" i="3" s="1"/>
  <c r="W41" i="3"/>
  <c r="X41" i="3"/>
  <c r="T81" i="3"/>
  <c r="U81" i="3"/>
  <c r="V81" i="3"/>
  <c r="W81" i="3"/>
  <c r="X81" i="3"/>
  <c r="V30" i="3"/>
  <c r="Y30" i="3" s="1"/>
  <c r="X30" i="3"/>
  <c r="V70" i="3"/>
  <c r="Y70" i="3" s="1"/>
  <c r="X70" i="3"/>
  <c r="T49" i="3"/>
  <c r="U49" i="3"/>
  <c r="V49" i="3"/>
  <c r="Y49" i="3" s="1"/>
  <c r="W49" i="3"/>
  <c r="X49" i="3"/>
  <c r="X89" i="3"/>
  <c r="T89" i="3"/>
  <c r="W89" i="3" s="1"/>
  <c r="U89" i="3"/>
  <c r="V89" i="3"/>
  <c r="V38" i="3"/>
  <c r="Y38" i="3" s="1"/>
  <c r="X38" i="3"/>
  <c r="V78" i="3"/>
  <c r="Y78" i="3" s="1"/>
  <c r="X78" i="3"/>
  <c r="T57" i="3"/>
  <c r="W57" i="3" s="1"/>
  <c r="U57" i="3"/>
  <c r="V57" i="3"/>
  <c r="X57" i="3"/>
  <c r="V46" i="3"/>
  <c r="Y46" i="3" s="1"/>
  <c r="X46" i="3"/>
  <c r="V86" i="3"/>
  <c r="Y86" i="3" s="1"/>
  <c r="X86" i="3"/>
  <c r="T65" i="3"/>
  <c r="W65" i="3" s="1"/>
  <c r="U65" i="3"/>
  <c r="V65" i="3"/>
  <c r="X65" i="3"/>
  <c r="Y36" i="3"/>
  <c r="Y76" i="3"/>
  <c r="V54" i="3"/>
  <c r="Y54" i="3" s="1"/>
  <c r="X54" i="3"/>
  <c r="T33" i="3"/>
  <c r="W33" i="3" s="1"/>
  <c r="U33" i="3"/>
  <c r="V33" i="3"/>
  <c r="X33" i="3"/>
  <c r="X63" i="3"/>
  <c r="X31" i="3"/>
  <c r="W95" i="3"/>
  <c r="Y95" i="3" s="1"/>
  <c r="W87" i="3"/>
  <c r="Y87" i="3" s="1"/>
  <c r="W79" i="3"/>
  <c r="Y79" i="3" s="1"/>
  <c r="W71" i="3"/>
  <c r="Y71" i="3" s="1"/>
  <c r="W63" i="3"/>
  <c r="Y63" i="3" s="1"/>
  <c r="W55" i="3"/>
  <c r="W47" i="3"/>
  <c r="Y47" i="3" s="1"/>
  <c r="W39" i="3"/>
  <c r="W31" i="3"/>
  <c r="Y31" i="3" s="1"/>
  <c r="V74" i="3"/>
  <c r="X95" i="3"/>
  <c r="X87" i="3"/>
  <c r="X79" i="3"/>
  <c r="X71" i="3"/>
  <c r="X55" i="3"/>
  <c r="X47" i="3"/>
  <c r="X39" i="3"/>
  <c r="S90" i="3"/>
  <c r="S82" i="3"/>
  <c r="S74" i="3"/>
  <c r="S66" i="3"/>
  <c r="S58" i="3"/>
  <c r="S50" i="3"/>
  <c r="S42" i="3"/>
  <c r="S34" i="3"/>
  <c r="S26" i="3"/>
  <c r="U95" i="3"/>
  <c r="X92" i="3"/>
  <c r="R90" i="3"/>
  <c r="V90" i="3" s="1"/>
  <c r="U87" i="3"/>
  <c r="X84" i="3"/>
  <c r="R82" i="3"/>
  <c r="V82" i="3" s="1"/>
  <c r="Y82" i="3" s="1"/>
  <c r="U79" i="3"/>
  <c r="X76" i="3"/>
  <c r="R74" i="3"/>
  <c r="U71" i="3"/>
  <c r="X68" i="3"/>
  <c r="R66" i="3"/>
  <c r="U63" i="3"/>
  <c r="X60" i="3"/>
  <c r="R58" i="3"/>
  <c r="U55" i="3"/>
  <c r="X52" i="3"/>
  <c r="R50" i="3"/>
  <c r="U47" i="3"/>
  <c r="X44" i="3"/>
  <c r="R42" i="3"/>
  <c r="U39" i="3"/>
  <c r="Y39" i="3" s="1"/>
  <c r="X36" i="3"/>
  <c r="R34" i="3"/>
  <c r="U31" i="3"/>
  <c r="X28" i="3"/>
  <c r="W92" i="3"/>
  <c r="Y92" i="3" s="1"/>
  <c r="W84" i="3"/>
  <c r="Y84" i="3" s="1"/>
  <c r="W76" i="3"/>
  <c r="W68" i="3"/>
  <c r="W60" i="3"/>
  <c r="Y60" i="3" s="1"/>
  <c r="W52" i="3"/>
  <c r="Y52" i="3" s="1"/>
  <c r="W44" i="3"/>
  <c r="Y44" i="3" s="1"/>
  <c r="W36" i="3"/>
  <c r="W28" i="3"/>
  <c r="Y28" i="3" s="1"/>
  <c r="S25" i="3"/>
  <c r="V83" i="3"/>
  <c r="Y83" i="3" s="1"/>
  <c r="V91" i="3"/>
  <c r="X72" i="3"/>
  <c r="X64" i="3"/>
  <c r="X48" i="3"/>
  <c r="X40" i="3"/>
  <c r="X32" i="3"/>
  <c r="X24" i="3"/>
  <c r="V75" i="3"/>
  <c r="W40" i="3"/>
  <c r="W24" i="3"/>
  <c r="S91" i="3"/>
  <c r="S83" i="3"/>
  <c r="S75" i="3"/>
  <c r="S67" i="3"/>
  <c r="V64" i="3"/>
  <c r="S59" i="3"/>
  <c r="S51" i="3"/>
  <c r="V48" i="3"/>
  <c r="S43" i="3"/>
  <c r="V43" i="3" s="1"/>
  <c r="V40" i="3"/>
  <c r="Y40" i="3" s="1"/>
  <c r="S35" i="3"/>
  <c r="V32" i="3"/>
  <c r="S27" i="3"/>
  <c r="V24" i="3"/>
  <c r="Y24" i="3" s="1"/>
  <c r="X93" i="3"/>
  <c r="X85" i="3"/>
  <c r="X77" i="3"/>
  <c r="X69" i="3"/>
  <c r="X61" i="3"/>
  <c r="X53" i="3"/>
  <c r="X45" i="3"/>
  <c r="X37" i="3"/>
  <c r="X29" i="3"/>
  <c r="W93" i="3"/>
  <c r="W85" i="3"/>
  <c r="W77" i="3"/>
  <c r="W69" i="3"/>
  <c r="W61" i="3"/>
  <c r="W53" i="3"/>
  <c r="W45" i="3"/>
  <c r="W37" i="3"/>
  <c r="W29" i="3"/>
  <c r="V93" i="3"/>
  <c r="Y93" i="3" s="1"/>
  <c r="S88" i="3"/>
  <c r="V85" i="3"/>
  <c r="S80" i="3"/>
  <c r="V77" i="3"/>
  <c r="Y77" i="3" s="1"/>
  <c r="S72" i="3"/>
  <c r="V72" i="3" s="1"/>
  <c r="V69" i="3"/>
  <c r="Y69" i="3" s="1"/>
  <c r="S64" i="3"/>
  <c r="V61" i="3"/>
  <c r="S56" i="3"/>
  <c r="V53" i="3"/>
  <c r="S48" i="3"/>
  <c r="V45" i="3"/>
  <c r="S40" i="3"/>
  <c r="V37" i="3"/>
  <c r="S32" i="3"/>
  <c r="V29" i="3"/>
  <c r="S24" i="3"/>
  <c r="U93" i="3"/>
  <c r="X90" i="3"/>
  <c r="U85" i="3"/>
  <c r="X82" i="3"/>
  <c r="U77" i="3"/>
  <c r="X74" i="3"/>
  <c r="U69" i="3"/>
  <c r="X66" i="3"/>
  <c r="U61" i="3"/>
  <c r="X58" i="3"/>
  <c r="U53" i="3"/>
  <c r="X50" i="3"/>
  <c r="U45" i="3"/>
  <c r="X42" i="3"/>
  <c r="U37" i="3"/>
  <c r="X34" i="3"/>
  <c r="U29" i="3"/>
  <c r="X26" i="3"/>
  <c r="W45" i="2"/>
  <c r="X45" i="2"/>
  <c r="Y31" i="2"/>
  <c r="W31" i="2"/>
  <c r="X31" i="2"/>
  <c r="W60" i="2"/>
  <c r="X60" i="2"/>
  <c r="W52" i="2"/>
  <c r="Y52" i="2"/>
  <c r="X52" i="2"/>
  <c r="X36" i="2"/>
  <c r="W36" i="2"/>
  <c r="W65" i="2"/>
  <c r="Y65" i="2"/>
  <c r="X65" i="2"/>
  <c r="W42" i="2"/>
  <c r="Y42" i="2" s="1"/>
  <c r="W73" i="2"/>
  <c r="Y73" i="2"/>
  <c r="X73" i="2"/>
  <c r="W28" i="2"/>
  <c r="Y28" i="2" s="1"/>
  <c r="X28" i="2"/>
  <c r="W57" i="2"/>
  <c r="X57" i="2"/>
  <c r="Y57" i="2"/>
  <c r="W29" i="2"/>
  <c r="Y29" i="2" s="1"/>
  <c r="X29" i="2"/>
  <c r="W49" i="2"/>
  <c r="X49" i="2"/>
  <c r="Y49" i="2"/>
  <c r="W37" i="2"/>
  <c r="X37" i="2"/>
  <c r="Y37" i="2"/>
  <c r="W77" i="2"/>
  <c r="X77" i="2"/>
  <c r="W33" i="2"/>
  <c r="X33" i="2"/>
  <c r="Y33" i="2"/>
  <c r="W44" i="2"/>
  <c r="Y44" i="2"/>
  <c r="X44" i="2"/>
  <c r="W25" i="2"/>
  <c r="X25" i="2"/>
  <c r="Y25" i="2"/>
  <c r="W55" i="2"/>
  <c r="Y55" i="2" s="1"/>
  <c r="X55" i="2"/>
  <c r="W71" i="2"/>
  <c r="Y71" i="2" s="1"/>
  <c r="X71" i="2"/>
  <c r="W75" i="2"/>
  <c r="X75" i="2"/>
  <c r="W68" i="2"/>
  <c r="X68" i="2"/>
  <c r="W47" i="2"/>
  <c r="Y47" i="2" s="1"/>
  <c r="X47" i="2"/>
  <c r="W63" i="2"/>
  <c r="X63" i="2"/>
  <c r="Y63" i="2"/>
  <c r="W76" i="2"/>
  <c r="X76" i="2"/>
  <c r="Y76" i="2"/>
  <c r="W69" i="2"/>
  <c r="Y69" i="2" s="1"/>
  <c r="X69" i="2"/>
  <c r="W61" i="2"/>
  <c r="X61" i="2"/>
  <c r="W53" i="2"/>
  <c r="Y53" i="2" s="1"/>
  <c r="X53" i="2"/>
  <c r="Y39" i="2"/>
  <c r="W39" i="2"/>
  <c r="X39" i="2"/>
  <c r="U66" i="2"/>
  <c r="U58" i="2"/>
  <c r="U50" i="2"/>
  <c r="U42" i="2"/>
  <c r="U34" i="2"/>
  <c r="U26" i="2"/>
  <c r="U74" i="2"/>
  <c r="Y74" i="2" s="1"/>
  <c r="U76" i="2"/>
  <c r="U68" i="2"/>
  <c r="Y68" i="2" s="1"/>
  <c r="U60" i="2"/>
  <c r="Y60" i="2" s="1"/>
  <c r="U52" i="2"/>
  <c r="U44" i="2"/>
  <c r="U36" i="2"/>
  <c r="Y36" i="2" s="1"/>
  <c r="U28" i="2"/>
  <c r="V41" i="2"/>
  <c r="Y72" i="2"/>
  <c r="S70" i="2"/>
  <c r="V67" i="2"/>
  <c r="Y64" i="2"/>
  <c r="S62" i="2"/>
  <c r="V59" i="2"/>
  <c r="Y56" i="2"/>
  <c r="S54" i="2"/>
  <c r="V51" i="2"/>
  <c r="Y48" i="2"/>
  <c r="S46" i="2"/>
  <c r="V43" i="2"/>
  <c r="Y40" i="2"/>
  <c r="S38" i="2"/>
  <c r="V35" i="2"/>
  <c r="Y32" i="2"/>
  <c r="S30" i="2"/>
  <c r="V27" i="2"/>
  <c r="Y24" i="2"/>
  <c r="U75" i="2"/>
  <c r="Y75" i="2" s="1"/>
  <c r="X72" i="2"/>
  <c r="U67" i="2"/>
  <c r="X64" i="2"/>
  <c r="U59" i="2"/>
  <c r="X56" i="2"/>
  <c r="U51" i="2"/>
  <c r="X48" i="2"/>
  <c r="U43" i="2"/>
  <c r="X40" i="2"/>
  <c r="U35" i="2"/>
  <c r="X32" i="2"/>
  <c r="U27" i="2"/>
  <c r="X24" i="2"/>
  <c r="Y66" i="2"/>
  <c r="Y58" i="2"/>
  <c r="Y50" i="2"/>
  <c r="Y34" i="2"/>
  <c r="Y26" i="2"/>
  <c r="U77" i="2"/>
  <c r="Y77" i="2" s="1"/>
  <c r="X74" i="2"/>
  <c r="U69" i="2"/>
  <c r="X66" i="2"/>
  <c r="X58" i="2"/>
  <c r="U53" i="2"/>
  <c r="X50" i="2"/>
  <c r="U45" i="2"/>
  <c r="Y45" i="2" s="1"/>
  <c r="X42" i="2"/>
  <c r="U37" i="2"/>
  <c r="X34" i="2"/>
  <c r="U29" i="2"/>
  <c r="X26" i="2"/>
  <c r="U61" i="2"/>
  <c r="Y61" i="2" s="1"/>
  <c r="W37" i="1"/>
  <c r="X37" i="1"/>
  <c r="X36" i="1"/>
  <c r="W45" i="1"/>
  <c r="X45" i="1"/>
  <c r="X28" i="1"/>
  <c r="Y65" i="1"/>
  <c r="X65" i="1"/>
  <c r="W65" i="1"/>
  <c r="W29" i="1"/>
  <c r="X29" i="1"/>
  <c r="W77" i="1"/>
  <c r="X77" i="1"/>
  <c r="Y77" i="1"/>
  <c r="W52" i="1"/>
  <c r="Y52" i="1"/>
  <c r="X52" i="1"/>
  <c r="X60" i="1"/>
  <c r="W53" i="1"/>
  <c r="X53" i="1"/>
  <c r="W76" i="1"/>
  <c r="Y76" i="1"/>
  <c r="X76" i="1"/>
  <c r="W69" i="1"/>
  <c r="X69" i="1"/>
  <c r="W61" i="1"/>
  <c r="X61" i="1"/>
  <c r="Y61" i="1"/>
  <c r="T68" i="1"/>
  <c r="W68" i="1" s="1"/>
  <c r="Y68" i="1" s="1"/>
  <c r="T60" i="1"/>
  <c r="W60" i="1" s="1"/>
  <c r="Y60" i="1" s="1"/>
  <c r="T52" i="1"/>
  <c r="T44" i="1"/>
  <c r="T36" i="1"/>
  <c r="W36" i="1" s="1"/>
  <c r="Y36" i="1" s="1"/>
  <c r="T28" i="1"/>
  <c r="W28" i="1" s="1"/>
  <c r="Y28" i="1" s="1"/>
  <c r="S26" i="1"/>
  <c r="V26" i="1" s="1"/>
  <c r="U65" i="1"/>
  <c r="U76" i="1"/>
  <c r="U52" i="1"/>
  <c r="S57" i="1"/>
  <c r="S49" i="1"/>
  <c r="S41" i="1"/>
  <c r="V38" i="1"/>
  <c r="S33" i="1"/>
  <c r="V30" i="1"/>
  <c r="S25" i="1"/>
  <c r="X68" i="1"/>
  <c r="S73" i="1"/>
  <c r="V44" i="1"/>
  <c r="T65" i="1"/>
  <c r="V75" i="1"/>
  <c r="S70" i="1"/>
  <c r="V70" i="1" s="1"/>
  <c r="V67" i="1"/>
  <c r="S62" i="1"/>
  <c r="V59" i="1"/>
  <c r="S54" i="1"/>
  <c r="V54" i="1" s="1"/>
  <c r="S46" i="1"/>
  <c r="V46" i="1" s="1"/>
  <c r="S38" i="1"/>
  <c r="S30" i="1"/>
  <c r="S75" i="1"/>
  <c r="S67" i="1"/>
  <c r="S59" i="1"/>
  <c r="V56" i="1"/>
  <c r="S51" i="1"/>
  <c r="V48" i="1"/>
  <c r="S43" i="1"/>
  <c r="V40" i="1"/>
  <c r="S35" i="1"/>
  <c r="V35" i="1" s="1"/>
  <c r="V32" i="1"/>
  <c r="S27" i="1"/>
  <c r="V27" i="1" s="1"/>
  <c r="V24" i="1"/>
  <c r="U24" i="1"/>
  <c r="Y74" i="1"/>
  <c r="S72" i="1"/>
  <c r="Y66" i="1"/>
  <c r="S64" i="1"/>
  <c r="V64" i="1" s="1"/>
  <c r="Y58" i="1"/>
  <c r="S56" i="1"/>
  <c r="Y50" i="1"/>
  <c r="S48" i="1"/>
  <c r="Y42" i="1"/>
  <c r="S40" i="1"/>
  <c r="Y34" i="1"/>
  <c r="S32" i="1"/>
  <c r="U77" i="1"/>
  <c r="X74" i="1"/>
  <c r="U69" i="1"/>
  <c r="Y69" i="1" s="1"/>
  <c r="X66" i="1"/>
  <c r="U61" i="1"/>
  <c r="X58" i="1"/>
  <c r="U53" i="1"/>
  <c r="Y53" i="1" s="1"/>
  <c r="X50" i="1"/>
  <c r="U45" i="1"/>
  <c r="Y45" i="1" s="1"/>
  <c r="X42" i="1"/>
  <c r="U37" i="1"/>
  <c r="Y37" i="1" s="1"/>
  <c r="X34" i="1"/>
  <c r="U29" i="1"/>
  <c r="Y29" i="1" s="1"/>
  <c r="AJ53" i="6" l="1"/>
  <c r="AJ30" i="6"/>
  <c r="AI61" i="6"/>
  <c r="AK61" i="6" s="1"/>
  <c r="AJ61" i="6"/>
  <c r="AI46" i="6"/>
  <c r="AJ46" i="6"/>
  <c r="AK46" i="6"/>
  <c r="AJ42" i="6"/>
  <c r="AF49" i="6"/>
  <c r="AG49" i="6"/>
  <c r="AH49" i="6"/>
  <c r="AI26" i="6"/>
  <c r="AJ26" i="6"/>
  <c r="AK26" i="6"/>
  <c r="AI54" i="6"/>
  <c r="AK54" i="6" s="1"/>
  <c r="AJ54" i="6"/>
  <c r="AF29" i="6"/>
  <c r="AG29" i="6"/>
  <c r="AF57" i="6"/>
  <c r="AG57" i="6"/>
  <c r="AH57" i="6"/>
  <c r="AJ34" i="6"/>
  <c r="AF37" i="6"/>
  <c r="AG37" i="6"/>
  <c r="AF61" i="6"/>
  <c r="AG61" i="6"/>
  <c r="AF36" i="6"/>
  <c r="AG36" i="6"/>
  <c r="AH36" i="6"/>
  <c r="AF44" i="6"/>
  <c r="AG44" i="6"/>
  <c r="AH44" i="6"/>
  <c r="AF28" i="6"/>
  <c r="AG28" i="6"/>
  <c r="AH28" i="6"/>
  <c r="AF52" i="6"/>
  <c r="AG52" i="6"/>
  <c r="AH52" i="6"/>
  <c r="AF60" i="6"/>
  <c r="AG60" i="6"/>
  <c r="AH60" i="6"/>
  <c r="AF45" i="6"/>
  <c r="AG45" i="6"/>
  <c r="AJ50" i="6"/>
  <c r="AF53" i="6"/>
  <c r="AI53" i="6" s="1"/>
  <c r="AK53" i="6" s="1"/>
  <c r="AG53" i="6"/>
  <c r="AJ58" i="6"/>
  <c r="AF26" i="6"/>
  <c r="AG26" i="6"/>
  <c r="AH45" i="6"/>
  <c r="AF34" i="6"/>
  <c r="AI34" i="6" s="1"/>
  <c r="AK34" i="6" s="1"/>
  <c r="AG34" i="6"/>
  <c r="AF42" i="6"/>
  <c r="AI42" i="6" s="1"/>
  <c r="AK42" i="6" s="1"/>
  <c r="AG42" i="6"/>
  <c r="AH29" i="6"/>
  <c r="AF50" i="6"/>
  <c r="AI50" i="6" s="1"/>
  <c r="AK50" i="6" s="1"/>
  <c r="AG50" i="6"/>
  <c r="AF58" i="6"/>
  <c r="AI58" i="6" s="1"/>
  <c r="AK58" i="6" s="1"/>
  <c r="AG58" i="6"/>
  <c r="AH37" i="6"/>
  <c r="AI62" i="6"/>
  <c r="AJ62" i="6"/>
  <c r="AK62" i="6"/>
  <c r="AF30" i="6"/>
  <c r="AI30" i="6" s="1"/>
  <c r="AK30" i="6" s="1"/>
  <c r="AG30" i="6"/>
  <c r="AF25" i="6"/>
  <c r="AG25" i="6"/>
  <c r="AH25" i="6"/>
  <c r="AI38" i="6"/>
  <c r="AJ38" i="6"/>
  <c r="AK38" i="6"/>
  <c r="AF33" i="6"/>
  <c r="AG33" i="6"/>
  <c r="AH33" i="6"/>
  <c r="AF41" i="6"/>
  <c r="AG41" i="6"/>
  <c r="AH41" i="6"/>
  <c r="T30" i="5"/>
  <c r="U30" i="5"/>
  <c r="V30" i="5"/>
  <c r="T38" i="5"/>
  <c r="U38" i="5"/>
  <c r="V38" i="5"/>
  <c r="T46" i="5"/>
  <c r="U46" i="5"/>
  <c r="V46" i="5"/>
  <c r="T54" i="5"/>
  <c r="U54" i="5"/>
  <c r="V54" i="5"/>
  <c r="T62" i="5"/>
  <c r="U62" i="5"/>
  <c r="V62" i="5"/>
  <c r="V26" i="5"/>
  <c r="T26" i="5"/>
  <c r="U26" i="5"/>
  <c r="U34" i="5"/>
  <c r="V34" i="5"/>
  <c r="T34" i="5"/>
  <c r="T42" i="5"/>
  <c r="U42" i="5"/>
  <c r="V42" i="5"/>
  <c r="U58" i="5"/>
  <c r="V58" i="5"/>
  <c r="T58" i="5"/>
  <c r="W53" i="5"/>
  <c r="X53" i="5"/>
  <c r="Y53" i="5"/>
  <c r="W61" i="5"/>
  <c r="X61" i="5"/>
  <c r="Y61" i="5"/>
  <c r="U50" i="5"/>
  <c r="V50" i="5"/>
  <c r="T50" i="5"/>
  <c r="Y49" i="5"/>
  <c r="W53" i="4"/>
  <c r="X53" i="4"/>
  <c r="Y53" i="4"/>
  <c r="X26" i="4"/>
  <c r="X40" i="4"/>
  <c r="W29" i="4"/>
  <c r="X29" i="4"/>
  <c r="Y29" i="4"/>
  <c r="T32" i="4"/>
  <c r="U32" i="4"/>
  <c r="T24" i="4"/>
  <c r="U24" i="4"/>
  <c r="W46" i="4"/>
  <c r="Y46" i="4"/>
  <c r="X46" i="4"/>
  <c r="W37" i="4"/>
  <c r="X37" i="4"/>
  <c r="Y37" i="4"/>
  <c r="T34" i="4"/>
  <c r="U34" i="4"/>
  <c r="W38" i="4"/>
  <c r="Y38" i="4"/>
  <c r="X38" i="4"/>
  <c r="T48" i="4"/>
  <c r="U48" i="4"/>
  <c r="W39" i="4"/>
  <c r="X39" i="4"/>
  <c r="Y39" i="4"/>
  <c r="T42" i="4"/>
  <c r="U42" i="4"/>
  <c r="U35" i="4"/>
  <c r="T35" i="4"/>
  <c r="W31" i="4"/>
  <c r="X31" i="4"/>
  <c r="Y31" i="4"/>
  <c r="T27" i="4"/>
  <c r="U27" i="4"/>
  <c r="W47" i="4"/>
  <c r="X47" i="4"/>
  <c r="Y47" i="4"/>
  <c r="T43" i="4"/>
  <c r="U43" i="4"/>
  <c r="T50" i="4"/>
  <c r="U50" i="4"/>
  <c r="V48" i="4"/>
  <c r="T51" i="4"/>
  <c r="U51" i="4"/>
  <c r="V27" i="4"/>
  <c r="T29" i="4"/>
  <c r="U29" i="4"/>
  <c r="W30" i="4"/>
  <c r="Y30" i="4" s="1"/>
  <c r="X30" i="4"/>
  <c r="V34" i="4"/>
  <c r="T40" i="4"/>
  <c r="W40" i="4" s="1"/>
  <c r="Y40" i="4" s="1"/>
  <c r="U40" i="4"/>
  <c r="V24" i="4"/>
  <c r="V32" i="4"/>
  <c r="V35" i="4"/>
  <c r="V43" i="4"/>
  <c r="T37" i="4"/>
  <c r="U37" i="4"/>
  <c r="W51" i="4"/>
  <c r="X51" i="4"/>
  <c r="Y51" i="4"/>
  <c r="V42" i="4"/>
  <c r="W50" i="4"/>
  <c r="Y50" i="4" s="1"/>
  <c r="X50" i="4"/>
  <c r="T45" i="4"/>
  <c r="U45" i="4"/>
  <c r="T53" i="4"/>
  <c r="U53" i="4"/>
  <c r="T26" i="4"/>
  <c r="W26" i="4" s="1"/>
  <c r="Y26" i="4" s="1"/>
  <c r="U26" i="4"/>
  <c r="V45" i="4"/>
  <c r="T27" i="3"/>
  <c r="U27" i="3"/>
  <c r="Y81" i="3"/>
  <c r="Y85" i="3"/>
  <c r="T35" i="3"/>
  <c r="W35" i="3"/>
  <c r="U35" i="3"/>
  <c r="X35" i="3"/>
  <c r="Y74" i="3"/>
  <c r="T80" i="3"/>
  <c r="W80" i="3" s="1"/>
  <c r="U80" i="3"/>
  <c r="T88" i="3"/>
  <c r="W88" i="3" s="1"/>
  <c r="U88" i="3"/>
  <c r="Y75" i="3"/>
  <c r="T43" i="3"/>
  <c r="X43" i="3"/>
  <c r="U43" i="3"/>
  <c r="W43" i="3"/>
  <c r="Y43" i="3" s="1"/>
  <c r="Y65" i="3"/>
  <c r="Y89" i="3"/>
  <c r="T51" i="3"/>
  <c r="W51" i="3"/>
  <c r="X51" i="3"/>
  <c r="U51" i="3"/>
  <c r="V56" i="3"/>
  <c r="V26" i="3"/>
  <c r="Y26" i="3" s="1"/>
  <c r="T26" i="3"/>
  <c r="U26" i="3"/>
  <c r="V34" i="3"/>
  <c r="T34" i="3"/>
  <c r="U34" i="3"/>
  <c r="T59" i="3"/>
  <c r="W59" i="3"/>
  <c r="X59" i="3"/>
  <c r="U59" i="3"/>
  <c r="T67" i="3"/>
  <c r="W67" i="3" s="1"/>
  <c r="U67" i="3"/>
  <c r="X67" i="3"/>
  <c r="V42" i="3"/>
  <c r="Y42" i="3" s="1"/>
  <c r="T42" i="3"/>
  <c r="U42" i="3"/>
  <c r="U58" i="3"/>
  <c r="T58" i="3"/>
  <c r="W58" i="3" s="1"/>
  <c r="V58" i="3"/>
  <c r="Y58" i="3" s="1"/>
  <c r="T24" i="3"/>
  <c r="U24" i="3"/>
  <c r="X56" i="3"/>
  <c r="X80" i="3"/>
  <c r="U50" i="3"/>
  <c r="V50" i="3"/>
  <c r="T50" i="3"/>
  <c r="Y29" i="3"/>
  <c r="T75" i="3"/>
  <c r="W75" i="3"/>
  <c r="X75" i="3"/>
  <c r="U75" i="3"/>
  <c r="X88" i="3"/>
  <c r="T32" i="3"/>
  <c r="W32" i="3" s="1"/>
  <c r="Y32" i="3" s="1"/>
  <c r="U32" i="3"/>
  <c r="V80" i="3"/>
  <c r="V35" i="3"/>
  <c r="Y35" i="3" s="1"/>
  <c r="V66" i="3"/>
  <c r="T66" i="3"/>
  <c r="W66" i="3" s="1"/>
  <c r="U66" i="3"/>
  <c r="Y37" i="3"/>
  <c r="T83" i="3"/>
  <c r="U83" i="3"/>
  <c r="W83" i="3"/>
  <c r="X83" i="3"/>
  <c r="V59" i="3"/>
  <c r="U74" i="3"/>
  <c r="T74" i="3"/>
  <c r="W74" i="3" s="1"/>
  <c r="V88" i="3"/>
  <c r="U82" i="3"/>
  <c r="T82" i="3"/>
  <c r="Y45" i="3"/>
  <c r="T91" i="3"/>
  <c r="U91" i="3"/>
  <c r="W91" i="3"/>
  <c r="Y91" i="3" s="1"/>
  <c r="X91" i="3"/>
  <c r="V27" i="3"/>
  <c r="Y27" i="3" s="1"/>
  <c r="U90" i="3"/>
  <c r="T90" i="3"/>
  <c r="W90" i="3" s="1"/>
  <c r="Y90" i="3" s="1"/>
  <c r="Y33" i="3"/>
  <c r="W42" i="3"/>
  <c r="T40" i="3"/>
  <c r="U40" i="3"/>
  <c r="T48" i="3"/>
  <c r="W48" i="3" s="1"/>
  <c r="Y48" i="3" s="1"/>
  <c r="U48" i="3"/>
  <c r="V51" i="3"/>
  <c r="Y57" i="3"/>
  <c r="Y53" i="3"/>
  <c r="V67" i="3"/>
  <c r="Y61" i="3"/>
  <c r="T25" i="3"/>
  <c r="U25" i="3"/>
  <c r="V25" i="3"/>
  <c r="Y25" i="3" s="1"/>
  <c r="W50" i="3"/>
  <c r="T64" i="3"/>
  <c r="U64" i="3"/>
  <c r="W64" i="3"/>
  <c r="Y64" i="3" s="1"/>
  <c r="T56" i="3"/>
  <c r="W56" i="3" s="1"/>
  <c r="U56" i="3"/>
  <c r="T72" i="3"/>
  <c r="U72" i="3"/>
  <c r="W72" i="3"/>
  <c r="Y72" i="3" s="1"/>
  <c r="W34" i="3"/>
  <c r="T30" i="2"/>
  <c r="U30" i="2"/>
  <c r="V30" i="2"/>
  <c r="W35" i="2"/>
  <c r="X35" i="2"/>
  <c r="Y35" i="2"/>
  <c r="W59" i="2"/>
  <c r="Y59" i="2" s="1"/>
  <c r="X59" i="2"/>
  <c r="W43" i="2"/>
  <c r="Y43" i="2" s="1"/>
  <c r="X43" i="2"/>
  <c r="V62" i="2"/>
  <c r="T62" i="2"/>
  <c r="U62" i="2"/>
  <c r="T46" i="2"/>
  <c r="U46" i="2"/>
  <c r="V46" i="2"/>
  <c r="T38" i="2"/>
  <c r="U38" i="2"/>
  <c r="V38" i="2"/>
  <c r="W27" i="2"/>
  <c r="X27" i="2"/>
  <c r="Y27" i="2"/>
  <c r="W67" i="2"/>
  <c r="Y67" i="2" s="1"/>
  <c r="X67" i="2"/>
  <c r="V70" i="2"/>
  <c r="T70" i="2"/>
  <c r="U70" i="2"/>
  <c r="W51" i="2"/>
  <c r="X51" i="2"/>
  <c r="Y51" i="2"/>
  <c r="V54" i="2"/>
  <c r="T54" i="2"/>
  <c r="U54" i="2"/>
  <c r="W41" i="2"/>
  <c r="X41" i="2"/>
  <c r="Y41" i="2"/>
  <c r="X35" i="1"/>
  <c r="X27" i="1"/>
  <c r="X70" i="1"/>
  <c r="X64" i="1"/>
  <c r="W26" i="1"/>
  <c r="X26" i="1"/>
  <c r="Y26" i="1"/>
  <c r="W46" i="1"/>
  <c r="Y46" i="1" s="1"/>
  <c r="X46" i="1"/>
  <c r="W54" i="1"/>
  <c r="Y54" i="1" s="1"/>
  <c r="X54" i="1"/>
  <c r="T72" i="1"/>
  <c r="U72" i="1"/>
  <c r="W59" i="1"/>
  <c r="Y59" i="1" s="1"/>
  <c r="X59" i="1"/>
  <c r="W44" i="1"/>
  <c r="X44" i="1"/>
  <c r="Y44" i="1"/>
  <c r="U26" i="1"/>
  <c r="T26" i="1"/>
  <c r="T43" i="1"/>
  <c r="U43" i="1"/>
  <c r="V73" i="1"/>
  <c r="U73" i="1"/>
  <c r="T73" i="1"/>
  <c r="W24" i="1"/>
  <c r="X24" i="1"/>
  <c r="Y24" i="1"/>
  <c r="W75" i="1"/>
  <c r="Y75" i="1"/>
  <c r="X75" i="1"/>
  <c r="W40" i="1"/>
  <c r="X40" i="1"/>
  <c r="Y40" i="1"/>
  <c r="X30" i="1"/>
  <c r="T67" i="1"/>
  <c r="U67" i="1"/>
  <c r="X38" i="1"/>
  <c r="T40" i="1"/>
  <c r="U40" i="1"/>
  <c r="V41" i="1"/>
  <c r="T41" i="1"/>
  <c r="U41" i="1"/>
  <c r="T62" i="1"/>
  <c r="U62" i="1"/>
  <c r="T70" i="1"/>
  <c r="W70" i="1" s="1"/>
  <c r="Y70" i="1" s="1"/>
  <c r="U70" i="1"/>
  <c r="W32" i="1"/>
  <c r="X32" i="1"/>
  <c r="Y32" i="1"/>
  <c r="W48" i="1"/>
  <c r="X48" i="1"/>
  <c r="Y48" i="1"/>
  <c r="T30" i="1"/>
  <c r="W30" i="1" s="1"/>
  <c r="Y30" i="1" s="1"/>
  <c r="U30" i="1"/>
  <c r="T35" i="1"/>
  <c r="W35" i="1" s="1"/>
  <c r="Y35" i="1" s="1"/>
  <c r="U35" i="1"/>
  <c r="T59" i="1"/>
  <c r="U59" i="1"/>
  <c r="V72" i="1"/>
  <c r="T75" i="1"/>
  <c r="U75" i="1"/>
  <c r="T48" i="1"/>
  <c r="U48" i="1"/>
  <c r="V49" i="1"/>
  <c r="T49" i="1"/>
  <c r="U49" i="1"/>
  <c r="T38" i="1"/>
  <c r="W38" i="1" s="1"/>
  <c r="Y38" i="1" s="1"/>
  <c r="U38" i="1"/>
  <c r="T57" i="1"/>
  <c r="U57" i="1"/>
  <c r="V57" i="1"/>
  <c r="T54" i="1"/>
  <c r="U54" i="1"/>
  <c r="T27" i="1"/>
  <c r="W27" i="1" s="1"/>
  <c r="Y27" i="1" s="1"/>
  <c r="U27" i="1"/>
  <c r="W56" i="1"/>
  <c r="X56" i="1"/>
  <c r="Y56" i="1"/>
  <c r="T25" i="1"/>
  <c r="U25" i="1"/>
  <c r="V25" i="1"/>
  <c r="T32" i="1"/>
  <c r="U32" i="1"/>
  <c r="V33" i="1"/>
  <c r="T33" i="1"/>
  <c r="U33" i="1"/>
  <c r="T56" i="1"/>
  <c r="U56" i="1"/>
  <c r="V43" i="1"/>
  <c r="V62" i="1"/>
  <c r="T51" i="1"/>
  <c r="U51" i="1"/>
  <c r="T46" i="1"/>
  <c r="U46" i="1"/>
  <c r="W67" i="1"/>
  <c r="X67" i="1"/>
  <c r="Y67" i="1"/>
  <c r="T64" i="1"/>
  <c r="W64" i="1" s="1"/>
  <c r="Y64" i="1" s="1"/>
  <c r="U64" i="1"/>
  <c r="V51" i="1"/>
  <c r="AI52" i="6" l="1"/>
  <c r="AJ52" i="6"/>
  <c r="AK52" i="6"/>
  <c r="AI28" i="6"/>
  <c r="AJ28" i="6"/>
  <c r="AK28" i="6"/>
  <c r="AI41" i="6"/>
  <c r="AJ41" i="6"/>
  <c r="AK41" i="6"/>
  <c r="AI49" i="6"/>
  <c r="AJ49" i="6"/>
  <c r="AK49" i="6"/>
  <c r="AI44" i="6"/>
  <c r="AJ44" i="6"/>
  <c r="AK44" i="6"/>
  <c r="AI45" i="6"/>
  <c r="AJ45" i="6"/>
  <c r="AK45" i="6"/>
  <c r="AI29" i="6"/>
  <c r="AJ29" i="6"/>
  <c r="AK29" i="6"/>
  <c r="AI36" i="6"/>
  <c r="AJ36" i="6"/>
  <c r="AK36" i="6"/>
  <c r="AI25" i="6"/>
  <c r="AJ25" i="6"/>
  <c r="AK25" i="6"/>
  <c r="AI33" i="6"/>
  <c r="AJ33" i="6"/>
  <c r="AK33" i="6"/>
  <c r="AI60" i="6"/>
  <c r="AJ60" i="6"/>
  <c r="AK60" i="6"/>
  <c r="AI37" i="6"/>
  <c r="AJ37" i="6"/>
  <c r="AK37" i="6"/>
  <c r="AI57" i="6"/>
  <c r="AJ57" i="6"/>
  <c r="AK57" i="6"/>
  <c r="W34" i="5"/>
  <c r="X34" i="5"/>
  <c r="Y34" i="5"/>
  <c r="W50" i="5"/>
  <c r="X50" i="5"/>
  <c r="Y50" i="5"/>
  <c r="W46" i="5"/>
  <c r="X46" i="5"/>
  <c r="Y46" i="5"/>
  <c r="W26" i="5"/>
  <c r="X26" i="5"/>
  <c r="Y26" i="5"/>
  <c r="W42" i="5"/>
  <c r="X42" i="5"/>
  <c r="Y42" i="5"/>
  <c r="W62" i="5"/>
  <c r="X62" i="5"/>
  <c r="Y62" i="5"/>
  <c r="W54" i="5"/>
  <c r="X54" i="5"/>
  <c r="Y54" i="5"/>
  <c r="W38" i="5"/>
  <c r="X38" i="5"/>
  <c r="Y38" i="5"/>
  <c r="W30" i="5"/>
  <c r="X30" i="5"/>
  <c r="Y30" i="5"/>
  <c r="W58" i="5"/>
  <c r="X58" i="5"/>
  <c r="Y58" i="5"/>
  <c r="W43" i="4"/>
  <c r="X43" i="4"/>
  <c r="Y43" i="4"/>
  <c r="W32" i="4"/>
  <c r="X32" i="4"/>
  <c r="Y32" i="4"/>
  <c r="W34" i="4"/>
  <c r="X34" i="4"/>
  <c r="Y34" i="4"/>
  <c r="W45" i="4"/>
  <c r="X45" i="4"/>
  <c r="Y45" i="4"/>
  <c r="W42" i="4"/>
  <c r="X42" i="4"/>
  <c r="Y42" i="4"/>
  <c r="W35" i="4"/>
  <c r="X35" i="4"/>
  <c r="Y35" i="4"/>
  <c r="W24" i="4"/>
  <c r="X24" i="4"/>
  <c r="Y24" i="4"/>
  <c r="W27" i="4"/>
  <c r="X27" i="4"/>
  <c r="Y27" i="4"/>
  <c r="X48" i="4"/>
  <c r="W48" i="4"/>
  <c r="Y48" i="4"/>
  <c r="Y66" i="3"/>
  <c r="Y80" i="3"/>
  <c r="Y34" i="3"/>
  <c r="Y50" i="3"/>
  <c r="Y88" i="3"/>
  <c r="Y56" i="3"/>
  <c r="Y67" i="3"/>
  <c r="Y59" i="3"/>
  <c r="Y51" i="3"/>
  <c r="X46" i="2"/>
  <c r="W46" i="2"/>
  <c r="Y46" i="2" s="1"/>
  <c r="W30" i="2"/>
  <c r="X30" i="2"/>
  <c r="Y30" i="2"/>
  <c r="X38" i="2"/>
  <c r="W38" i="2"/>
  <c r="Y38" i="2"/>
  <c r="X62" i="2"/>
  <c r="W62" i="2"/>
  <c r="Y62" i="2"/>
  <c r="X54" i="2"/>
  <c r="W54" i="2"/>
  <c r="Y54" i="2"/>
  <c r="X70" i="2"/>
  <c r="W70" i="2"/>
  <c r="Y70" i="2" s="1"/>
  <c r="W51" i="1"/>
  <c r="X51" i="1"/>
  <c r="Y51" i="1"/>
  <c r="W73" i="1"/>
  <c r="Y73" i="1" s="1"/>
  <c r="X73" i="1"/>
  <c r="X33" i="1"/>
  <c r="W33" i="1"/>
  <c r="Y33" i="1" s="1"/>
  <c r="W43" i="1"/>
  <c r="X43" i="1"/>
  <c r="Y43" i="1"/>
  <c r="X57" i="1"/>
  <c r="W57" i="1"/>
  <c r="Y57" i="1" s="1"/>
  <c r="X41" i="1"/>
  <c r="W41" i="1"/>
  <c r="Y41" i="1" s="1"/>
  <c r="W62" i="1"/>
  <c r="Y62" i="1" s="1"/>
  <c r="X62" i="1"/>
  <c r="X49" i="1"/>
  <c r="W49" i="1"/>
  <c r="Y49" i="1" s="1"/>
  <c r="W72" i="1"/>
  <c r="X72" i="1"/>
  <c r="Y72" i="1"/>
  <c r="W25" i="1"/>
  <c r="X25" i="1"/>
  <c r="Y25" i="1"/>
</calcChain>
</file>

<file path=xl/sharedStrings.xml><?xml version="1.0" encoding="utf-8"?>
<sst xmlns="http://schemas.openxmlformats.org/spreadsheetml/2006/main" count="480" uniqueCount="135">
  <si>
    <t>Revenue by business partner</t>
  </si>
  <si>
    <t>Replace the values in the block below with your own. Panels fill left to right, top row first, in the row order shown. Panel names, period labels and the shared scale all follow automatically - do not edit the engine columns to the right.</t>
  </si>
  <si>
    <t>Panel</t>
  </si>
  <si>
    <t>Revenue</t>
  </si>
  <si>
    <t>Jan</t>
  </si>
  <si>
    <t>Feb</t>
  </si>
  <si>
    <t>Mar</t>
  </si>
  <si>
    <t>Apr</t>
  </si>
  <si>
    <t>May</t>
  </si>
  <si>
    <t>Jun</t>
  </si>
  <si>
    <t>Jul</t>
  </si>
  <si>
    <t>Aug</t>
  </si>
  <si>
    <t>Sep</t>
  </si>
  <si>
    <t>Oct</t>
  </si>
  <si>
    <t>Nov</t>
  </si>
  <si>
    <t>Dec</t>
  </si>
  <si>
    <t>Business partner 01</t>
  </si>
  <si>
    <t>Business partner 02</t>
  </si>
  <si>
    <t>Business partner 03</t>
  </si>
  <si>
    <t>Business partner 04</t>
  </si>
  <si>
    <t>Business partner 05</t>
  </si>
  <si>
    <t>Business partner 06</t>
  </si>
  <si>
    <t>Business partner 07</t>
  </si>
  <si>
    <t>Business partner 08</t>
  </si>
  <si>
    <t>Business partner 09</t>
  </si>
  <si>
    <t>Business partner 10</t>
  </si>
  <si>
    <t>Business partner 11</t>
  </si>
  <si>
    <t>Business partner 12</t>
  </si>
  <si>
    <t>Business partner 13</t>
  </si>
  <si>
    <t>Business partner 14</t>
  </si>
  <si>
    <t>Business partner 15</t>
  </si>
  <si>
    <t>Business partner 16</t>
  </si>
  <si>
    <t>Business partner 17</t>
  </si>
  <si>
    <t>Business partner 18</t>
  </si>
  <si>
    <t>Business partner 19</t>
  </si>
  <si>
    <t>Business partner 20</t>
  </si>
  <si>
    <t>ENGINE - do not edit</t>
  </si>
  <si>
    <t>grid rows</t>
  </si>
  <si>
    <t>grid cols</t>
  </si>
  <si>
    <t>periods</t>
  </si>
  <si>
    <t>elements</t>
  </si>
  <si>
    <t>blocks</t>
  </si>
  <si>
    <t>bands</t>
  </si>
  <si>
    <t>sub-slots</t>
  </si>
  <si>
    <t>block slots</t>
  </si>
  <si>
    <t>spacers</t>
  </si>
  <si>
    <t>lead</t>
  </si>
  <si>
    <t>band frac</t>
  </si>
  <si>
    <t>min raw</t>
  </si>
  <si>
    <t>max raw</t>
  </si>
  <si>
    <t>step</t>
  </si>
  <si>
    <t>vmin</t>
  </si>
  <si>
    <t>vmax</t>
  </si>
  <si>
    <t>span</t>
  </si>
  <si>
    <t>zero offset</t>
  </si>
  <si>
    <t>x</t>
  </si>
  <si>
    <t>pos</t>
  </si>
  <si>
    <t>blk</t>
  </si>
  <si>
    <t>sub</t>
  </si>
  <si>
    <t>k</t>
  </si>
  <si>
    <t>e</t>
  </si>
  <si>
    <t>sep</t>
  </si>
  <si>
    <t>kx</t>
  </si>
  <si>
    <t>blkx</t>
  </si>
  <si>
    <t>cat</t>
  </si>
  <si>
    <t>Revenue b0</t>
  </si>
  <si>
    <t>Revenue b1</t>
  </si>
  <si>
    <t>Revenue b2</t>
  </si>
  <si>
    <t>Revenue b3</t>
  </si>
  <si>
    <t>Revenue b4</t>
  </si>
  <si>
    <t>divider</t>
  </si>
  <si>
    <t>bandrule</t>
  </si>
  <si>
    <t>baseline</t>
  </si>
  <si>
    <t>ptitle</t>
  </si>
  <si>
    <t>ytick</t>
  </si>
  <si>
    <t>base b0</t>
  </si>
  <si>
    <t>base b1</t>
  </si>
  <si>
    <t>base b2</t>
  </si>
  <si>
    <t>base b3</t>
  </si>
  <si>
    <t>Stacked totals (engine)</t>
  </si>
  <si>
    <t>stacked totals</t>
  </si>
  <si>
    <t>mask</t>
  </si>
  <si>
    <t>Revenue variance against plan, by business partner</t>
  </si>
  <si>
    <t>Variance vs plan</t>
  </si>
  <si>
    <t>Variance vs plan b0 +</t>
  </si>
  <si>
    <t>stem Variance vs plan b0 +</t>
  </si>
  <si>
    <t>label Variance vs plan b0 +</t>
  </si>
  <si>
    <t>Variance vs plan b0 -</t>
  </si>
  <si>
    <t>stem Variance vs plan b0 -</t>
  </si>
  <si>
    <t>label Variance vs plan b0 -</t>
  </si>
  <si>
    <t>Variance vs plan b1 +</t>
  </si>
  <si>
    <t>stem Variance vs plan b1 +</t>
  </si>
  <si>
    <t>label Variance vs plan b1 +</t>
  </si>
  <si>
    <t>Variance vs plan b1 -</t>
  </si>
  <si>
    <t>stem Variance vs plan b1 -</t>
  </si>
  <si>
    <t>label Variance vs plan b1 -</t>
  </si>
  <si>
    <t>Variance vs plan b2 +</t>
  </si>
  <si>
    <t>stem Variance vs plan b2 +</t>
  </si>
  <si>
    <t>label Variance vs plan b2 +</t>
  </si>
  <si>
    <t>Variance vs plan b2 -</t>
  </si>
  <si>
    <t>stem Variance vs plan b2 -</t>
  </si>
  <si>
    <t>label Variance vs plan b2 -</t>
  </si>
  <si>
    <t>Variance vs plan b3 +</t>
  </si>
  <si>
    <t>stem Variance vs plan b3 +</t>
  </si>
  <si>
    <t>label Variance vs plan b3 +</t>
  </si>
  <si>
    <t>Variance vs plan b3 -</t>
  </si>
  <si>
    <t>stem Variance vs plan b3 -</t>
  </si>
  <si>
    <t>label Variance vs plan b3 -</t>
  </si>
  <si>
    <t>Revenue against plan, by business partner</t>
  </si>
  <si>
    <t>Actual</t>
  </si>
  <si>
    <t>Plan</t>
  </si>
  <si>
    <t>Actual b0</t>
  </si>
  <si>
    <t>label Actual b0</t>
  </si>
  <si>
    <t>Plan b0</t>
  </si>
  <si>
    <t>label Plan b0</t>
  </si>
  <si>
    <t>Actual b1</t>
  </si>
  <si>
    <t>label Actual b1</t>
  </si>
  <si>
    <t>Plan b1</t>
  </si>
  <si>
    <t>label Plan b1</t>
  </si>
  <si>
    <t>Actual b2</t>
  </si>
  <si>
    <t>label Actual b2</t>
  </si>
  <si>
    <t>Plan b2</t>
  </si>
  <si>
    <t>label Plan b2</t>
  </si>
  <si>
    <t>Actual b3</t>
  </si>
  <si>
    <t>label Actual b3</t>
  </si>
  <si>
    <t>Plan b3</t>
  </si>
  <si>
    <t>label Plan b3</t>
  </si>
  <si>
    <t>Actual b4</t>
  </si>
  <si>
    <t>label Actual b4</t>
  </si>
  <si>
    <t>Plan b4</t>
  </si>
  <si>
    <t>label Plan b4</t>
  </si>
  <si>
    <t>Actual b5</t>
  </si>
  <si>
    <t>label Actual b5</t>
  </si>
  <si>
    <t>Plan b5</t>
  </si>
  <si>
    <t>label Plan b5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</si>
</sst>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Aptos Narrow"/>
      <family val="2"/>
      <scheme val="minor"/>
    </font>
    <font>
      <b/>
      <sz val="11"/>
      <color theme="1"/>
      <name val="Aptos Narrow"/>
      <family val="2"/>
      <scheme val="minor"/>
    </font>
    <font>
      <b/>
      <sz val="13"/>
      <color theme="1"/>
      <name val="Aptos Narrow"/>
      <family val="2"/>
      <scheme val="minor"/>
    </font>
    <font>
      <i/>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xf>
    <xf numFmtId="3"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a:pPr>
            <a:r>
              <a:rPr lang="en-US"/>
              <a:t>Revenue by business partner</a:t>
            </a:r>
          </a:p>
        </c:rich>
      </c:tx>
      <c:overlay val="0"/>
    </c:title>
    <c:autoTitleDeleted val="0"/>
    <c:plotArea>
      <c:layout/>
      <c:lineChart>
        <c:grouping val="standard"/>
        <c:varyColors val="0"/>
        <c:ser>
          <c:idx val="0"/>
          <c:order val="0"/>
          <c:tx>
            <c:v>Revenue</c:v>
          </c:tx>
          <c:spPr>
            <a:ln w="22225">
              <a:solidFill>
                <a:srgbClr val="1F4E79"/>
              </a:solidFill>
            </a:ln>
          </c:spPr>
          <c:marker>
            <c:symbol val="none"/>
          </c:marker>
          <c:cat>
            <c:strRef>
              <c:f>Line!$Y$24:$Y$77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Line!$Z$24:$Z$77</c:f>
              <c:numCache>
                <c:formatCode>General</c:formatCode>
                <c:ptCount val="54"/>
                <c:pt idx="0">
                  <c:v>#N/A</c:v>
                </c:pt>
                <c:pt idx="1">
                  <c:v>#N/A</c:v>
                </c:pt>
                <c:pt idx="2">
                  <c:v>#N/A</c:v>
                </c:pt>
                <c:pt idx="3">
                  <c:v>0.48926666666666663</c:v>
                </c:pt>
                <c:pt idx="4">
                  <c:v>0.5343119999999999</c:v>
                </c:pt>
                <c:pt idx="5">
                  <c:v>0.48095733333333329</c:v>
                </c:pt>
                <c:pt idx="6">
                  <c:v>0.52594799999999997</c:v>
                </c:pt>
                <c:pt idx="7">
                  <c:v>0.57099333333333335</c:v>
                </c:pt>
                <c:pt idx="8">
                  <c:v>0.51763866666666658</c:v>
                </c:pt>
                <c:pt idx="9">
                  <c:v>0.56262933333333331</c:v>
                </c:pt>
                <c:pt idx="10">
                  <c:v>0.60767466666666659</c:v>
                </c:pt>
                <c:pt idx="11">
                  <c:v>0.55432000000000003</c:v>
                </c:pt>
                <c:pt idx="12">
                  <c:v>0.59936533333333342</c:v>
                </c:pt>
                <c:pt idx="13">
                  <c:v>0.64441066666666658</c:v>
                </c:pt>
                <c:pt idx="14">
                  <c:v>0.59100133333333316</c:v>
                </c:pt>
                <c:pt idx="15">
                  <c:v>#N/A</c:v>
                </c:pt>
                <c:pt idx="16">
                  <c:v>0.40179999999999999</c:v>
                </c:pt>
                <c:pt idx="17">
                  <c:v>0.34543866666666667</c:v>
                </c:pt>
                <c:pt idx="18">
                  <c:v>0.38747733333333328</c:v>
                </c:pt>
                <c:pt idx="19">
                  <c:v>0.42946133333333336</c:v>
                </c:pt>
                <c:pt idx="20">
                  <c:v>0.37309999999999999</c:v>
                </c:pt>
                <c:pt idx="21">
                  <c:v>0.4151386666666666</c:v>
                </c:pt>
                <c:pt idx="22">
                  <c:v>0.45712266666666662</c:v>
                </c:pt>
                <c:pt idx="23">
                  <c:v>0.4007613333333333</c:v>
                </c:pt>
                <c:pt idx="24">
                  <c:v>0.44280000000000003</c:v>
                </c:pt>
                <c:pt idx="25">
                  <c:v>0.48483866666666658</c:v>
                </c:pt>
                <c:pt idx="26">
                  <c:v>0.42847733333333327</c:v>
                </c:pt>
                <c:pt idx="27">
                  <c:v>0.47046133333333329</c:v>
                </c:pt>
                <c:pt idx="28">
                  <c:v>#N/A</c:v>
                </c:pt>
                <c:pt idx="29">
                  <c:v>0.21593333333333331</c:v>
                </c:pt>
                <c:pt idx="30">
                  <c:v>0.25496533333333332</c:v>
                </c:pt>
                <c:pt idx="31">
                  <c:v>0.29399733333333328</c:v>
                </c:pt>
                <c:pt idx="32">
                  <c:v>0.23457466666666668</c:v>
                </c:pt>
                <c:pt idx="33">
                  <c:v>0.27360666666666666</c:v>
                </c:pt>
                <c:pt idx="34">
                  <c:v>0.31263866666666662</c:v>
                </c:pt>
                <c:pt idx="35">
                  <c:v>0.253216</c:v>
                </c:pt>
                <c:pt idx="36">
                  <c:v>0.29224799999999995</c:v>
                </c:pt>
                <c:pt idx="37">
                  <c:v>0.33128000000000002</c:v>
                </c:pt>
                <c:pt idx="38">
                  <c:v>0.27191199999999999</c:v>
                </c:pt>
                <c:pt idx="39">
                  <c:v>0.31094399999999994</c:v>
                </c:pt>
                <c:pt idx="40">
                  <c:v>0.34992133333333331</c:v>
                </c:pt>
                <c:pt idx="41">
                  <c:v>#N/A</c:v>
                </c:pt>
                <c:pt idx="42">
                  <c:v>0.4592</c:v>
                </c:pt>
                <c:pt idx="43">
                  <c:v>0.50347999999999993</c:v>
                </c:pt>
                <c:pt idx="44">
                  <c:v>0.44935999999999998</c:v>
                </c:pt>
                <c:pt idx="45">
                  <c:v>0.49363999999999997</c:v>
                </c:pt>
                <c:pt idx="46">
                  <c:v>0.53791999999999995</c:v>
                </c:pt>
                <c:pt idx="47">
                  <c:v>0.48379999999999995</c:v>
                </c:pt>
                <c:pt idx="48">
                  <c:v>0.52807999999999999</c:v>
                </c:pt>
                <c:pt idx="49">
                  <c:v>0.57235999999999998</c:v>
                </c:pt>
                <c:pt idx="50">
                  <c:v>0.51823999999999992</c:v>
                </c:pt>
                <c:pt idx="51">
                  <c:v>0.56252000000000002</c:v>
                </c:pt>
                <c:pt idx="52">
                  <c:v>0.60680000000000001</c:v>
                </c:pt>
                <c:pt idx="53">
                  <c:v>0.55267999999999995</c:v>
                </c:pt>
              </c:numCache>
            </c:numRef>
          </c:val>
          <c:smooth val="0"/>
          <c:extLst>
            <c:ext xmlns:c16="http://schemas.microsoft.com/office/drawing/2014/chart" uri="{C3380CC4-5D6E-409C-BE32-E72D297353CC}">
              <c16:uniqueId val="{00000001-47E2-4479-AA55-A96772533588}"/>
            </c:ext>
          </c:extLst>
        </c:ser>
        <c:ser>
          <c:idx val="1"/>
          <c:order val="1"/>
          <c:tx>
            <c:v>Revenue</c:v>
          </c:tx>
          <c:spPr>
            <a:ln w="22225">
              <a:solidFill>
                <a:srgbClr val="1F4E79"/>
              </a:solidFill>
            </a:ln>
          </c:spPr>
          <c:marker>
            <c:symbol val="none"/>
          </c:marker>
          <c:cat>
            <c:strRef>
              <c:f>Line!$Y$24:$Y$77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Line!$AA$24:$AA$77</c:f>
              <c:numCache>
                <c:formatCode>General</c:formatCode>
                <c:ptCount val="54"/>
                <c:pt idx="0">
                  <c:v>#N/A</c:v>
                </c:pt>
                <c:pt idx="1">
                  <c:v>#N/A</c:v>
                </c:pt>
                <c:pt idx="2">
                  <c:v>#N/A</c:v>
                </c:pt>
                <c:pt idx="3">
                  <c:v>1.2760666666666667</c:v>
                </c:pt>
                <c:pt idx="4">
                  <c:v>1.3165746666666667</c:v>
                </c:pt>
                <c:pt idx="5">
                  <c:v>1.3570826666666667</c:v>
                </c:pt>
                <c:pt idx="6">
                  <c:v>1.2992453333333334</c:v>
                </c:pt>
                <c:pt idx="7">
                  <c:v>1.3397533333333334</c:v>
                </c:pt>
                <c:pt idx="8">
                  <c:v>1.3802613333333333</c:v>
                </c:pt>
                <c:pt idx="9">
                  <c:v>1.322424</c:v>
                </c:pt>
                <c:pt idx="10">
                  <c:v>1.362932</c:v>
                </c:pt>
                <c:pt idx="11">
                  <c:v>1.40344</c:v>
                </c:pt>
                <c:pt idx="12">
                  <c:v>1.345548</c:v>
                </c:pt>
                <c:pt idx="13">
                  <c:v>1.386056</c:v>
                </c:pt>
                <c:pt idx="14">
                  <c:v>1.4266186666666667</c:v>
                </c:pt>
                <c:pt idx="15">
                  <c:v>#N/A</c:v>
                </c:pt>
                <c:pt idx="16">
                  <c:v>1.5193333333333334</c:v>
                </c:pt>
                <c:pt idx="17">
                  <c:v>1.5651439999999999</c:v>
                </c:pt>
                <c:pt idx="18">
                  <c:v>1.5125</c:v>
                </c:pt>
                <c:pt idx="19">
                  <c:v>1.5582560000000001</c:v>
                </c:pt>
                <c:pt idx="20">
                  <c:v>1.6040666666666668</c:v>
                </c:pt>
                <c:pt idx="21">
                  <c:v>1.5514773333333332</c:v>
                </c:pt>
                <c:pt idx="22">
                  <c:v>1.5972333333333335</c:v>
                </c:pt>
                <c:pt idx="23">
                  <c:v>1.6429893333333334</c:v>
                </c:pt>
                <c:pt idx="24">
                  <c:v>1.5903999999999998</c:v>
                </c:pt>
                <c:pt idx="25">
                  <c:v>1.6362106666666665</c:v>
                </c:pt>
                <c:pt idx="26">
                  <c:v>1.6819666666666666</c:v>
                </c:pt>
                <c:pt idx="27">
                  <c:v>1.6293226666666667</c:v>
                </c:pt>
                <c:pt idx="28">
                  <c:v>#N/A</c:v>
                </c:pt>
                <c:pt idx="29">
                  <c:v>1.4318666666666666</c:v>
                </c:pt>
                <c:pt idx="30">
                  <c:v>1.3762159999999999</c:v>
                </c:pt>
                <c:pt idx="31">
                  <c:v>1.4190199999999999</c:v>
                </c:pt>
                <c:pt idx="32">
                  <c:v>1.461824</c:v>
                </c:pt>
                <c:pt idx="33">
                  <c:v>1.4061733333333333</c:v>
                </c:pt>
                <c:pt idx="34">
                  <c:v>1.4489226666666666</c:v>
                </c:pt>
                <c:pt idx="35">
                  <c:v>1.4917266666666666</c:v>
                </c:pt>
                <c:pt idx="36">
                  <c:v>1.4361306666666667</c:v>
                </c:pt>
                <c:pt idx="37">
                  <c:v>1.47888</c:v>
                </c:pt>
                <c:pt idx="38">
                  <c:v>1.521684</c:v>
                </c:pt>
                <c:pt idx="39">
                  <c:v>1.4660333333333333</c:v>
                </c:pt>
                <c:pt idx="40">
                  <c:v>1.5087826666666668</c:v>
                </c:pt>
                <c:pt idx="41">
                  <c:v>#N/A</c:v>
                </c:pt>
                <c:pt idx="42">
                  <c:v>1.246</c:v>
                </c:pt>
                <c:pt idx="43">
                  <c:v>1.2857973333333332</c:v>
                </c:pt>
                <c:pt idx="44">
                  <c:v>1.3255399999999999</c:v>
                </c:pt>
                <c:pt idx="45">
                  <c:v>1.2668826666666666</c:v>
                </c:pt>
                <c:pt idx="46">
                  <c:v>1.3066800000000001</c:v>
                </c:pt>
                <c:pt idx="47">
                  <c:v>1.3464773333333333</c:v>
                </c:pt>
                <c:pt idx="48">
                  <c:v>1.28782</c:v>
                </c:pt>
                <c:pt idx="49">
                  <c:v>1.3275626666666667</c:v>
                </c:pt>
                <c:pt idx="50">
                  <c:v>1.3673599999999999</c:v>
                </c:pt>
                <c:pt idx="51">
                  <c:v>1.3087573333333333</c:v>
                </c:pt>
                <c:pt idx="52">
                  <c:v>1.3485</c:v>
                </c:pt>
                <c:pt idx="53">
                  <c:v>1.3882426666666667</c:v>
                </c:pt>
              </c:numCache>
            </c:numRef>
          </c:val>
          <c:smooth val="0"/>
          <c:extLst>
            <c:ext xmlns:c16="http://schemas.microsoft.com/office/drawing/2014/chart" uri="{C3380CC4-5D6E-409C-BE32-E72D297353CC}">
              <c16:uniqueId val="{00000002-47E2-4479-AA55-A96772533588}"/>
            </c:ext>
          </c:extLst>
        </c:ser>
        <c:ser>
          <c:idx val="2"/>
          <c:order val="2"/>
          <c:tx>
            <c:v>Revenue</c:v>
          </c:tx>
          <c:spPr>
            <a:ln w="22225">
              <a:solidFill>
                <a:srgbClr val="1F4E79"/>
              </a:solidFill>
            </a:ln>
          </c:spPr>
          <c:marker>
            <c:symbol val="none"/>
          </c:marker>
          <c:cat>
            <c:strRef>
              <c:f>Line!$Y$24:$Y$77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Line!$AB$24:$AB$77</c:f>
              <c:numCache>
                <c:formatCode>General</c:formatCode>
                <c:ptCount val="54"/>
                <c:pt idx="0">
                  <c:v>#N/A</c:v>
                </c:pt>
                <c:pt idx="1">
                  <c:v>#N/A</c:v>
                </c:pt>
                <c:pt idx="2">
                  <c:v>#N/A</c:v>
                </c:pt>
                <c:pt idx="3">
                  <c:v>2.492</c:v>
                </c:pt>
                <c:pt idx="4">
                  <c:v>2.4378799999999998</c:v>
                </c:pt>
                <c:pt idx="5">
                  <c:v>2.4821599999999999</c:v>
                </c:pt>
                <c:pt idx="6">
                  <c:v>2.52644</c:v>
                </c:pt>
                <c:pt idx="7">
                  <c:v>2.4723199999999999</c:v>
                </c:pt>
                <c:pt idx="8">
                  <c:v>2.5165999999999999</c:v>
                </c:pt>
                <c:pt idx="9">
                  <c:v>2.56088</c:v>
                </c:pt>
                <c:pt idx="10">
                  <c:v>2.5067599999999999</c:v>
                </c:pt>
                <c:pt idx="11">
                  <c:v>2.55104</c:v>
                </c:pt>
                <c:pt idx="12">
                  <c:v>2.5953200000000001</c:v>
                </c:pt>
                <c:pt idx="13">
                  <c:v>2.5411999999999999</c:v>
                </c:pt>
                <c:pt idx="14">
                  <c:v>2.58548</c:v>
                </c:pt>
                <c:pt idx="15">
                  <c:v>#N/A</c:v>
                </c:pt>
                <c:pt idx="16">
                  <c:v>2.3061333333333334</c:v>
                </c:pt>
                <c:pt idx="17">
                  <c:v>2.3474066666666666</c:v>
                </c:pt>
                <c:pt idx="18">
                  <c:v>2.3886799999999999</c:v>
                </c:pt>
                <c:pt idx="19">
                  <c:v>2.3315533333333334</c:v>
                </c:pt>
                <c:pt idx="20">
                  <c:v>2.3728266666666666</c:v>
                </c:pt>
                <c:pt idx="21">
                  <c:v>2.4140999999999999</c:v>
                </c:pt>
                <c:pt idx="22">
                  <c:v>2.3569733333333334</c:v>
                </c:pt>
                <c:pt idx="23">
                  <c:v>2.3982466666666666</c:v>
                </c:pt>
                <c:pt idx="24">
                  <c:v>2.4395199999999999</c:v>
                </c:pt>
                <c:pt idx="25">
                  <c:v>2.3823933333333334</c:v>
                </c:pt>
                <c:pt idx="26">
                  <c:v>2.4236666666666666</c:v>
                </c:pt>
                <c:pt idx="27">
                  <c:v>2.4649399999999999</c:v>
                </c:pt>
                <c:pt idx="28">
                  <c:v>#N/A</c:v>
                </c:pt>
                <c:pt idx="29">
                  <c:v>2.2186666666666666</c:v>
                </c:pt>
                <c:pt idx="30">
                  <c:v>2.2569333333333335</c:v>
                </c:pt>
                <c:pt idx="31">
                  <c:v>2.1968000000000001</c:v>
                </c:pt>
                <c:pt idx="32">
                  <c:v>2.2350666666666665</c:v>
                </c:pt>
                <c:pt idx="33">
                  <c:v>2.2733333333333334</c:v>
                </c:pt>
                <c:pt idx="34">
                  <c:v>2.2132000000000001</c:v>
                </c:pt>
                <c:pt idx="35">
                  <c:v>2.2514666666666665</c:v>
                </c:pt>
                <c:pt idx="36">
                  <c:v>2.2897333333333334</c:v>
                </c:pt>
                <c:pt idx="37">
                  <c:v>2.2296</c:v>
                </c:pt>
                <c:pt idx="38">
                  <c:v>2.2678666666666665</c:v>
                </c:pt>
                <c:pt idx="39">
                  <c:v>2.3061333333333334</c:v>
                </c:pt>
                <c:pt idx="40">
                  <c:v>2.246</c:v>
                </c:pt>
                <c:pt idx="41">
                  <c:v>#N/A</c:v>
                </c:pt>
                <c:pt idx="42">
                  <c:v>2.4619333333333335</c:v>
                </c:pt>
                <c:pt idx="43">
                  <c:v>2.4070480000000001</c:v>
                </c:pt>
                <c:pt idx="44">
                  <c:v>2.4505626666666664</c:v>
                </c:pt>
                <c:pt idx="45">
                  <c:v>2.494132</c:v>
                </c:pt>
                <c:pt idx="46">
                  <c:v>2.4392466666666666</c:v>
                </c:pt>
                <c:pt idx="47">
                  <c:v>2.4827613333333334</c:v>
                </c:pt>
                <c:pt idx="48">
                  <c:v>2.5262760000000002</c:v>
                </c:pt>
                <c:pt idx="49">
                  <c:v>2.4714453333333335</c:v>
                </c:pt>
                <c:pt idx="50">
                  <c:v>2.5149599999999999</c:v>
                </c:pt>
                <c:pt idx="51">
                  <c:v>2.5584746666666667</c:v>
                </c:pt>
                <c:pt idx="52">
                  <c:v>2.5035893333333332</c:v>
                </c:pt>
                <c:pt idx="53">
                  <c:v>2.5471586666666668</c:v>
                </c:pt>
              </c:numCache>
            </c:numRef>
          </c:val>
          <c:smooth val="0"/>
          <c:extLst>
            <c:ext xmlns:c16="http://schemas.microsoft.com/office/drawing/2014/chart" uri="{C3380CC4-5D6E-409C-BE32-E72D297353CC}">
              <c16:uniqueId val="{00000003-47E2-4479-AA55-A96772533588}"/>
            </c:ext>
          </c:extLst>
        </c:ser>
        <c:ser>
          <c:idx val="3"/>
          <c:order val="3"/>
          <c:tx>
            <c:v>Revenue</c:v>
          </c:tx>
          <c:spPr>
            <a:ln w="22225">
              <a:solidFill>
                <a:srgbClr val="1F4E79"/>
              </a:solidFill>
            </a:ln>
          </c:spPr>
          <c:marker>
            <c:symbol val="none"/>
          </c:marker>
          <c:cat>
            <c:strRef>
              <c:f>Line!$Y$24:$Y$77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Line!$AC$24:$AC$77</c:f>
              <c:numCache>
                <c:formatCode>General</c:formatCode>
                <c:ptCount val="54"/>
                <c:pt idx="0">
                  <c:v>#N/A</c:v>
                </c:pt>
                <c:pt idx="1">
                  <c:v>#N/A</c:v>
                </c:pt>
                <c:pt idx="2">
                  <c:v>#N/A</c:v>
                </c:pt>
                <c:pt idx="3">
                  <c:v>3.2787999999999999</c:v>
                </c:pt>
                <c:pt idx="4">
                  <c:v>3.3185973333333334</c:v>
                </c:pt>
                <c:pt idx="5">
                  <c:v>3.2599399999999998</c:v>
                </c:pt>
                <c:pt idx="6">
                  <c:v>3.2996826666666665</c:v>
                </c:pt>
                <c:pt idx="7">
                  <c:v>3.33948</c:v>
                </c:pt>
                <c:pt idx="8">
                  <c:v>3.2808773333333332</c:v>
                </c:pt>
                <c:pt idx="9">
                  <c:v>3.3206199999999999</c:v>
                </c:pt>
                <c:pt idx="10">
                  <c:v>3.3603626666666666</c:v>
                </c:pt>
                <c:pt idx="11">
                  <c:v>3.3017599999999998</c:v>
                </c:pt>
                <c:pt idx="12">
                  <c:v>3.3415573333333333</c:v>
                </c:pt>
                <c:pt idx="13">
                  <c:v>3.3813</c:v>
                </c:pt>
                <c:pt idx="14">
                  <c:v>3.3226426666666669</c:v>
                </c:pt>
                <c:pt idx="15">
                  <c:v>#N/A</c:v>
                </c:pt>
                <c:pt idx="16">
                  <c:v>3.5220666666666665</c:v>
                </c:pt>
                <c:pt idx="17">
                  <c:v>3.468712</c:v>
                </c:pt>
                <c:pt idx="18">
                  <c:v>3.5137573333333334</c:v>
                </c:pt>
                <c:pt idx="19">
                  <c:v>3.558748</c:v>
                </c:pt>
                <c:pt idx="20">
                  <c:v>3.5053933333333331</c:v>
                </c:pt>
                <c:pt idx="21">
                  <c:v>3.5504386666666665</c:v>
                </c:pt>
                <c:pt idx="22">
                  <c:v>3.5954293333333336</c:v>
                </c:pt>
                <c:pt idx="23">
                  <c:v>3.5420746666666667</c:v>
                </c:pt>
                <c:pt idx="24">
                  <c:v>3.5871200000000001</c:v>
                </c:pt>
                <c:pt idx="25">
                  <c:v>3.6321653333333335</c:v>
                </c:pt>
                <c:pt idx="26">
                  <c:v>3.5788106666666666</c:v>
                </c:pt>
                <c:pt idx="27">
                  <c:v>3.6238013333333332</c:v>
                </c:pt>
                <c:pt idx="28">
                  <c:v>#N/A</c:v>
                </c:pt>
                <c:pt idx="29">
                  <c:v>3.3361999999999998</c:v>
                </c:pt>
                <c:pt idx="30">
                  <c:v>3.3782386666666664</c:v>
                </c:pt>
                <c:pt idx="31">
                  <c:v>3.4202773333333334</c:v>
                </c:pt>
                <c:pt idx="32">
                  <c:v>3.3638613333333334</c:v>
                </c:pt>
                <c:pt idx="33">
                  <c:v>3.4058999999999999</c:v>
                </c:pt>
                <c:pt idx="34">
                  <c:v>3.4479386666666665</c:v>
                </c:pt>
                <c:pt idx="35">
                  <c:v>3.3915226666666669</c:v>
                </c:pt>
                <c:pt idx="36">
                  <c:v>3.4335613333333335</c:v>
                </c:pt>
                <c:pt idx="37">
                  <c:v>3.4756</c:v>
                </c:pt>
                <c:pt idx="38">
                  <c:v>3.4192386666666668</c:v>
                </c:pt>
                <c:pt idx="39">
                  <c:v>3.4612773333333333</c:v>
                </c:pt>
                <c:pt idx="40">
                  <c:v>3.5032613333333336</c:v>
                </c:pt>
                <c:pt idx="41">
                  <c:v>#N/A</c:v>
                </c:pt>
                <c:pt idx="42">
                  <c:v>3.2487333333333335</c:v>
                </c:pt>
                <c:pt idx="43">
                  <c:v>3.2877653333333332</c:v>
                </c:pt>
                <c:pt idx="44">
                  <c:v>3.2283973333333336</c:v>
                </c:pt>
                <c:pt idx="45">
                  <c:v>3.2673746666666665</c:v>
                </c:pt>
                <c:pt idx="46">
                  <c:v>3.3064066666666667</c:v>
                </c:pt>
                <c:pt idx="47">
                  <c:v>3.2470386666666666</c:v>
                </c:pt>
                <c:pt idx="48">
                  <c:v>3.286016</c:v>
                </c:pt>
                <c:pt idx="49">
                  <c:v>3.3250479999999998</c:v>
                </c:pt>
                <c:pt idx="50">
                  <c:v>3.2656800000000001</c:v>
                </c:pt>
                <c:pt idx="51">
                  <c:v>3.3047119999999999</c:v>
                </c:pt>
                <c:pt idx="52">
                  <c:v>3.343744</c:v>
                </c:pt>
                <c:pt idx="53">
                  <c:v>3.2843213333333332</c:v>
                </c:pt>
              </c:numCache>
            </c:numRef>
          </c:val>
          <c:smooth val="0"/>
          <c:extLst>
            <c:ext xmlns:c16="http://schemas.microsoft.com/office/drawing/2014/chart" uri="{C3380CC4-5D6E-409C-BE32-E72D297353CC}">
              <c16:uniqueId val="{00000004-47E2-4479-AA55-A96772533588}"/>
            </c:ext>
          </c:extLst>
        </c:ser>
        <c:ser>
          <c:idx val="4"/>
          <c:order val="4"/>
          <c:tx>
            <c:v>Revenue</c:v>
          </c:tx>
          <c:spPr>
            <a:ln w="22225">
              <a:solidFill>
                <a:srgbClr val="1F4E79"/>
              </a:solidFill>
            </a:ln>
          </c:spPr>
          <c:marker>
            <c:symbol val="none"/>
          </c:marker>
          <c:cat>
            <c:strRef>
              <c:f>Line!$Y$24:$Y$77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Line!$AD$24:$AD$77</c:f>
              <c:numCache>
                <c:formatCode>General</c:formatCode>
                <c:ptCount val="54"/>
                <c:pt idx="0">
                  <c:v>#N/A</c:v>
                </c:pt>
                <c:pt idx="1">
                  <c:v>#N/A</c:v>
                </c:pt>
                <c:pt idx="2">
                  <c:v>#N/A</c:v>
                </c:pt>
                <c:pt idx="3">
                  <c:v>4.3963333333333336</c:v>
                </c:pt>
                <c:pt idx="4">
                  <c:v>4.4398479999999996</c:v>
                </c:pt>
                <c:pt idx="5">
                  <c:v>4.4833626666666664</c:v>
                </c:pt>
                <c:pt idx="6">
                  <c:v>4.4285319999999997</c:v>
                </c:pt>
                <c:pt idx="7">
                  <c:v>4.4720466666666665</c:v>
                </c:pt>
                <c:pt idx="8">
                  <c:v>4.5155613333333333</c:v>
                </c:pt>
                <c:pt idx="9">
                  <c:v>4.4606760000000003</c:v>
                </c:pt>
                <c:pt idx="10">
                  <c:v>4.5042453333333334</c:v>
                </c:pt>
                <c:pt idx="11">
                  <c:v>4.5477600000000002</c:v>
                </c:pt>
                <c:pt idx="12">
                  <c:v>4.4928746666666664</c:v>
                </c:pt>
                <c:pt idx="13">
                  <c:v>4.5363893333333332</c:v>
                </c:pt>
                <c:pt idx="14">
                  <c:v>4.5799586666666663</c:v>
                </c:pt>
                <c:pt idx="15">
                  <c:v>#N/A</c:v>
                </c:pt>
                <c:pt idx="16">
                  <c:v>4.3088666666666668</c:v>
                </c:pt>
                <c:pt idx="17">
                  <c:v>4.3493746666666668</c:v>
                </c:pt>
                <c:pt idx="18">
                  <c:v>4.291482666666667</c:v>
                </c:pt>
                <c:pt idx="19">
                  <c:v>4.3320453333333333</c:v>
                </c:pt>
                <c:pt idx="20">
                  <c:v>4.3725533333333333</c:v>
                </c:pt>
                <c:pt idx="21">
                  <c:v>4.3146613333333335</c:v>
                </c:pt>
                <c:pt idx="22">
                  <c:v>4.3552239999999998</c:v>
                </c:pt>
                <c:pt idx="23">
                  <c:v>4.3957319999999998</c:v>
                </c:pt>
                <c:pt idx="24">
                  <c:v>4.3378399999999999</c:v>
                </c:pt>
                <c:pt idx="25">
                  <c:v>4.3783479999999999</c:v>
                </c:pt>
                <c:pt idx="26">
                  <c:v>4.4188559999999999</c:v>
                </c:pt>
                <c:pt idx="27">
                  <c:v>4.3610186666666664</c:v>
                </c:pt>
                <c:pt idx="28">
                  <c:v>#N/A</c:v>
                </c:pt>
                <c:pt idx="29">
                  <c:v>4.5521333333333329</c:v>
                </c:pt>
                <c:pt idx="30">
                  <c:v>4.499489333333333</c:v>
                </c:pt>
                <c:pt idx="31">
                  <c:v>4.5453000000000001</c:v>
                </c:pt>
                <c:pt idx="32">
                  <c:v>4.591056</c:v>
                </c:pt>
                <c:pt idx="33">
                  <c:v>4.5384666666666664</c:v>
                </c:pt>
                <c:pt idx="34">
                  <c:v>4.5842773333333335</c:v>
                </c:pt>
                <c:pt idx="35">
                  <c:v>4.6300333333333334</c:v>
                </c:pt>
                <c:pt idx="36">
                  <c:v>4.5773893333333335</c:v>
                </c:pt>
                <c:pt idx="37">
                  <c:v>4.6231999999999998</c:v>
                </c:pt>
                <c:pt idx="38">
                  <c:v>4.6690106666666669</c:v>
                </c:pt>
                <c:pt idx="39">
                  <c:v>4.616366666666667</c:v>
                </c:pt>
                <c:pt idx="40">
                  <c:v>4.6621226666666669</c:v>
                </c:pt>
                <c:pt idx="41">
                  <c:v>#N/A</c:v>
                </c:pt>
                <c:pt idx="42">
                  <c:v>4.3662666666666663</c:v>
                </c:pt>
                <c:pt idx="43">
                  <c:v>4.4090160000000003</c:v>
                </c:pt>
                <c:pt idx="44">
                  <c:v>4.4518199999999997</c:v>
                </c:pt>
                <c:pt idx="45">
                  <c:v>4.3962240000000001</c:v>
                </c:pt>
                <c:pt idx="46">
                  <c:v>4.4389733333333332</c:v>
                </c:pt>
                <c:pt idx="47">
                  <c:v>4.4817226666666663</c:v>
                </c:pt>
                <c:pt idx="48">
                  <c:v>4.4261266666666668</c:v>
                </c:pt>
                <c:pt idx="49">
                  <c:v>4.4689306666666671</c:v>
                </c:pt>
                <c:pt idx="50">
                  <c:v>4.5116800000000001</c:v>
                </c:pt>
                <c:pt idx="51">
                  <c:v>4.4560839999999997</c:v>
                </c:pt>
                <c:pt idx="52">
                  <c:v>4.4988333333333337</c:v>
                </c:pt>
                <c:pt idx="53">
                  <c:v>4.5415826666666668</c:v>
                </c:pt>
              </c:numCache>
            </c:numRef>
          </c:val>
          <c:smooth val="0"/>
          <c:extLst>
            <c:ext xmlns:c16="http://schemas.microsoft.com/office/drawing/2014/chart" uri="{C3380CC4-5D6E-409C-BE32-E72D297353CC}">
              <c16:uniqueId val="{00000005-47E2-4479-AA55-A96772533588}"/>
            </c:ext>
          </c:extLst>
        </c:ser>
        <c:dLbls>
          <c:showLegendKey val="0"/>
          <c:showVal val="0"/>
          <c:showCatName val="0"/>
          <c:showSerName val="0"/>
          <c:showPercent val="0"/>
          <c:showBubbleSize val="0"/>
        </c:dLbls>
        <c:marker val="1"/>
        <c:smooth val="0"/>
        <c:axId val="1971854127"/>
        <c:axId val="1904815503"/>
      </c:lineChart>
      <c:scatterChart>
        <c:scatterStyle val="lineMarker"/>
        <c:varyColors val="0"/>
        <c:ser>
          <c:idx val="5"/>
          <c:order val="5"/>
          <c:tx>
            <c:v>divider</c:v>
          </c:tx>
          <c:spPr>
            <a:ln w="9525">
              <a:solidFill>
                <a:srgbClr val="BFBFBF"/>
              </a:solidFill>
            </a:ln>
          </c:spPr>
          <c:marker>
            <c:symbol val="none"/>
          </c:marker>
          <c:xVal>
            <c:numRef>
              <c:f>Line!$AF$24:$AF$32</c:f>
              <c:numCache>
                <c:formatCode>General</c:formatCode>
                <c:ptCount val="9"/>
                <c:pt idx="0">
                  <c:v>16</c:v>
                </c:pt>
                <c:pt idx="1">
                  <c:v>16</c:v>
                </c:pt>
                <c:pt idx="2">
                  <c:v>16</c:v>
                </c:pt>
                <c:pt idx="3">
                  <c:v>29</c:v>
                </c:pt>
                <c:pt idx="4">
                  <c:v>29</c:v>
                </c:pt>
                <c:pt idx="5">
                  <c:v>29</c:v>
                </c:pt>
                <c:pt idx="6">
                  <c:v>42</c:v>
                </c:pt>
                <c:pt idx="7">
                  <c:v>42</c:v>
                </c:pt>
                <c:pt idx="8">
                  <c:v>42</c:v>
                </c:pt>
              </c:numCache>
            </c:numRef>
          </c:xVal>
          <c:yVal>
            <c:numRef>
              <c:f>Line!$AG$24:$AG$32</c:f>
              <c:numCache>
                <c:formatCode>General</c:formatCode>
                <c:ptCount val="9"/>
                <c:pt idx="0">
                  <c:v>0</c:v>
                </c:pt>
                <c:pt idx="1">
                  <c:v>5</c:v>
                </c:pt>
                <c:pt idx="2">
                  <c:v>#N/A</c:v>
                </c:pt>
                <c:pt idx="3">
                  <c:v>0</c:v>
                </c:pt>
                <c:pt idx="4">
                  <c:v>5</c:v>
                </c:pt>
                <c:pt idx="5">
                  <c:v>#N/A</c:v>
                </c:pt>
                <c:pt idx="6">
                  <c:v>0</c:v>
                </c:pt>
                <c:pt idx="7">
                  <c:v>5</c:v>
                </c:pt>
                <c:pt idx="8">
                  <c:v>#N/A</c:v>
                </c:pt>
              </c:numCache>
            </c:numRef>
          </c:yVal>
          <c:smooth val="0"/>
          <c:extLst>
            <c:ext xmlns:c16="http://schemas.microsoft.com/office/drawing/2014/chart" uri="{C3380CC4-5D6E-409C-BE32-E72D297353CC}">
              <c16:uniqueId val="{00000006-47E2-4479-AA55-A96772533588}"/>
            </c:ext>
          </c:extLst>
        </c:ser>
        <c:ser>
          <c:idx val="6"/>
          <c:order val="6"/>
          <c:tx>
            <c:v>bandrule</c:v>
          </c:tx>
          <c:spPr>
            <a:ln w="9525">
              <a:solidFill>
                <a:srgbClr val="BFBFBF"/>
              </a:solidFill>
            </a:ln>
          </c:spPr>
          <c:marker>
            <c:symbol val="none"/>
          </c:marker>
          <c:xVal>
            <c:numRef>
              <c:f>Line!$AI$24:$AI$35</c:f>
              <c:numCache>
                <c:formatCode>General</c:formatCode>
                <c:ptCount val="12"/>
                <c:pt idx="0">
                  <c:v>0.5</c:v>
                </c:pt>
                <c:pt idx="1">
                  <c:v>54.5</c:v>
                </c:pt>
                <c:pt idx="2">
                  <c:v>54.5</c:v>
                </c:pt>
                <c:pt idx="3">
                  <c:v>0.5</c:v>
                </c:pt>
                <c:pt idx="4">
                  <c:v>54.5</c:v>
                </c:pt>
                <c:pt idx="5">
                  <c:v>54.5</c:v>
                </c:pt>
                <c:pt idx="6">
                  <c:v>0.5</c:v>
                </c:pt>
                <c:pt idx="7">
                  <c:v>54.5</c:v>
                </c:pt>
                <c:pt idx="8">
                  <c:v>54.5</c:v>
                </c:pt>
                <c:pt idx="9">
                  <c:v>0.5</c:v>
                </c:pt>
                <c:pt idx="10">
                  <c:v>54.5</c:v>
                </c:pt>
                <c:pt idx="11">
                  <c:v>54.5</c:v>
                </c:pt>
              </c:numCache>
            </c:numRef>
          </c:xVal>
          <c:yVal>
            <c:numRef>
              <c:f>Line!$AJ$24:$AJ$35</c:f>
              <c:numCache>
                <c:formatCode>General</c:formatCode>
                <c:ptCount val="12"/>
                <c:pt idx="0">
                  <c:v>0.90999999999999992</c:v>
                </c:pt>
                <c:pt idx="1">
                  <c:v>0.90999999999999992</c:v>
                </c:pt>
                <c:pt idx="2">
                  <c:v>#N/A</c:v>
                </c:pt>
                <c:pt idx="3">
                  <c:v>1.91</c:v>
                </c:pt>
                <c:pt idx="4">
                  <c:v>1.91</c:v>
                </c:pt>
                <c:pt idx="5">
                  <c:v>#N/A</c:v>
                </c:pt>
                <c:pt idx="6">
                  <c:v>2.91</c:v>
                </c:pt>
                <c:pt idx="7">
                  <c:v>2.91</c:v>
                </c:pt>
                <c:pt idx="8">
                  <c:v>#N/A</c:v>
                </c:pt>
                <c:pt idx="9">
                  <c:v>3.91</c:v>
                </c:pt>
                <c:pt idx="10">
                  <c:v>3.91</c:v>
                </c:pt>
                <c:pt idx="11">
                  <c:v>#N/A</c:v>
                </c:pt>
              </c:numCache>
            </c:numRef>
          </c:yVal>
          <c:smooth val="0"/>
          <c:extLst>
            <c:ext xmlns:c16="http://schemas.microsoft.com/office/drawing/2014/chart" uri="{C3380CC4-5D6E-409C-BE32-E72D297353CC}">
              <c16:uniqueId val="{00000007-47E2-4479-AA55-A96772533588}"/>
            </c:ext>
          </c:extLst>
        </c:ser>
        <c:ser>
          <c:idx val="7"/>
          <c:order val="7"/>
          <c:tx>
            <c:v>baseline</c:v>
          </c:tx>
          <c:spPr>
            <a:ln w="9525">
              <a:solidFill>
                <a:srgbClr val="808080"/>
              </a:solidFill>
            </a:ln>
          </c:spPr>
          <c:marker>
            <c:symbol val="none"/>
          </c:marker>
          <c:xVal>
            <c:numRef>
              <c:f>Line!$AL$24:$AL$77</c:f>
              <c:numCache>
                <c:formatCode>General</c:formatCode>
                <c:ptCount val="54"/>
                <c:pt idx="0">
                  <c:v>3.5</c:v>
                </c:pt>
                <c:pt idx="1">
                  <c:v>15.5</c:v>
                </c:pt>
                <c:pt idx="2">
                  <c:v>15.5</c:v>
                </c:pt>
                <c:pt idx="3">
                  <c:v>16.5</c:v>
                </c:pt>
                <c:pt idx="4">
                  <c:v>28.5</c:v>
                </c:pt>
                <c:pt idx="5">
                  <c:v>28.5</c:v>
                </c:pt>
                <c:pt idx="6">
                  <c:v>29.5</c:v>
                </c:pt>
                <c:pt idx="7">
                  <c:v>41.5</c:v>
                </c:pt>
                <c:pt idx="8">
                  <c:v>41.5</c:v>
                </c:pt>
                <c:pt idx="9">
                  <c:v>42.5</c:v>
                </c:pt>
                <c:pt idx="10">
                  <c:v>54.5</c:v>
                </c:pt>
                <c:pt idx="11">
                  <c:v>54.5</c:v>
                </c:pt>
                <c:pt idx="12">
                  <c:v>3.5</c:v>
                </c:pt>
                <c:pt idx="13">
                  <c:v>15.5</c:v>
                </c:pt>
                <c:pt idx="14">
                  <c:v>15.5</c:v>
                </c:pt>
                <c:pt idx="15">
                  <c:v>16.5</c:v>
                </c:pt>
                <c:pt idx="16">
                  <c:v>28.5</c:v>
                </c:pt>
                <c:pt idx="17">
                  <c:v>28.5</c:v>
                </c:pt>
                <c:pt idx="18">
                  <c:v>29.5</c:v>
                </c:pt>
                <c:pt idx="19">
                  <c:v>41.5</c:v>
                </c:pt>
                <c:pt idx="20">
                  <c:v>41.5</c:v>
                </c:pt>
                <c:pt idx="21">
                  <c:v>42.5</c:v>
                </c:pt>
                <c:pt idx="22">
                  <c:v>54.5</c:v>
                </c:pt>
                <c:pt idx="23">
                  <c:v>54.5</c:v>
                </c:pt>
                <c:pt idx="24">
                  <c:v>3.5</c:v>
                </c:pt>
                <c:pt idx="25">
                  <c:v>15.5</c:v>
                </c:pt>
                <c:pt idx="26">
                  <c:v>15.5</c:v>
                </c:pt>
                <c:pt idx="27">
                  <c:v>16.5</c:v>
                </c:pt>
                <c:pt idx="28">
                  <c:v>28.5</c:v>
                </c:pt>
                <c:pt idx="29">
                  <c:v>28.5</c:v>
                </c:pt>
                <c:pt idx="30">
                  <c:v>29.5</c:v>
                </c:pt>
                <c:pt idx="31">
                  <c:v>41.5</c:v>
                </c:pt>
                <c:pt idx="32">
                  <c:v>41.5</c:v>
                </c:pt>
                <c:pt idx="33">
                  <c:v>42.5</c:v>
                </c:pt>
                <c:pt idx="34">
                  <c:v>54.5</c:v>
                </c:pt>
                <c:pt idx="35">
                  <c:v>54.5</c:v>
                </c:pt>
                <c:pt idx="36">
                  <c:v>3.5</c:v>
                </c:pt>
                <c:pt idx="37">
                  <c:v>15.5</c:v>
                </c:pt>
                <c:pt idx="38">
                  <c:v>15.5</c:v>
                </c:pt>
                <c:pt idx="39">
                  <c:v>16.5</c:v>
                </c:pt>
                <c:pt idx="40">
                  <c:v>28.5</c:v>
                </c:pt>
                <c:pt idx="41">
                  <c:v>28.5</c:v>
                </c:pt>
                <c:pt idx="42">
                  <c:v>29.5</c:v>
                </c:pt>
                <c:pt idx="43">
                  <c:v>41.5</c:v>
                </c:pt>
                <c:pt idx="44">
                  <c:v>41.5</c:v>
                </c:pt>
                <c:pt idx="45">
                  <c:v>42.5</c:v>
                </c:pt>
                <c:pt idx="46">
                  <c:v>54.5</c:v>
                </c:pt>
                <c:pt idx="47">
                  <c:v>54.5</c:v>
                </c:pt>
                <c:pt idx="48">
                  <c:v>3.5</c:v>
                </c:pt>
                <c:pt idx="49">
                  <c:v>15.5</c:v>
                </c:pt>
                <c:pt idx="50">
                  <c:v>15.5</c:v>
                </c:pt>
                <c:pt idx="51">
                  <c:v>16.5</c:v>
                </c:pt>
                <c:pt idx="52">
                  <c:v>28.5</c:v>
                </c:pt>
                <c:pt idx="53">
                  <c:v>28.5</c:v>
                </c:pt>
              </c:numCache>
            </c:numRef>
          </c:xVal>
          <c:yVal>
            <c:numRef>
              <c:f>Line!$AM$24:$AM$77</c:f>
              <c:numCache>
                <c:formatCode>General</c:formatCode>
                <c:ptCount val="54"/>
                <c:pt idx="0">
                  <c:v>0</c:v>
                </c:pt>
                <c:pt idx="1">
                  <c:v>0</c:v>
                </c:pt>
                <c:pt idx="2">
                  <c:v>#N/A</c:v>
                </c:pt>
                <c:pt idx="3">
                  <c:v>0</c:v>
                </c:pt>
                <c:pt idx="4">
                  <c:v>0</c:v>
                </c:pt>
                <c:pt idx="5">
                  <c:v>#N/A</c:v>
                </c:pt>
                <c:pt idx="6">
                  <c:v>0</c:v>
                </c:pt>
                <c:pt idx="7">
                  <c:v>0</c:v>
                </c:pt>
                <c:pt idx="8">
                  <c:v>#N/A</c:v>
                </c:pt>
                <c:pt idx="9">
                  <c:v>0</c:v>
                </c:pt>
                <c:pt idx="10">
                  <c:v>0</c:v>
                </c:pt>
                <c:pt idx="11">
                  <c:v>#N/A</c:v>
                </c:pt>
                <c:pt idx="12">
                  <c:v>1</c:v>
                </c:pt>
                <c:pt idx="13">
                  <c:v>1</c:v>
                </c:pt>
                <c:pt idx="14">
                  <c:v>#N/A</c:v>
                </c:pt>
                <c:pt idx="15">
                  <c:v>1</c:v>
                </c:pt>
                <c:pt idx="16">
                  <c:v>1</c:v>
                </c:pt>
                <c:pt idx="17">
                  <c:v>#N/A</c:v>
                </c:pt>
                <c:pt idx="18">
                  <c:v>1</c:v>
                </c:pt>
                <c:pt idx="19">
                  <c:v>1</c:v>
                </c:pt>
                <c:pt idx="20">
                  <c:v>#N/A</c:v>
                </c:pt>
                <c:pt idx="21">
                  <c:v>1</c:v>
                </c:pt>
                <c:pt idx="22">
                  <c:v>1</c:v>
                </c:pt>
                <c:pt idx="23">
                  <c:v>#N/A</c:v>
                </c:pt>
                <c:pt idx="24">
                  <c:v>2</c:v>
                </c:pt>
                <c:pt idx="25">
                  <c:v>2</c:v>
                </c:pt>
                <c:pt idx="26">
                  <c:v>#N/A</c:v>
                </c:pt>
                <c:pt idx="27">
                  <c:v>2</c:v>
                </c:pt>
                <c:pt idx="28">
                  <c:v>2</c:v>
                </c:pt>
                <c:pt idx="29">
                  <c:v>#N/A</c:v>
                </c:pt>
                <c:pt idx="30">
                  <c:v>2</c:v>
                </c:pt>
                <c:pt idx="31">
                  <c:v>2</c:v>
                </c:pt>
                <c:pt idx="32">
                  <c:v>#N/A</c:v>
                </c:pt>
                <c:pt idx="33">
                  <c:v>2</c:v>
                </c:pt>
                <c:pt idx="34">
                  <c:v>2</c:v>
                </c:pt>
                <c:pt idx="35">
                  <c:v>#N/A</c:v>
                </c:pt>
                <c:pt idx="36">
                  <c:v>3</c:v>
                </c:pt>
                <c:pt idx="37">
                  <c:v>3</c:v>
                </c:pt>
                <c:pt idx="38">
                  <c:v>#N/A</c:v>
                </c:pt>
                <c:pt idx="39">
                  <c:v>3</c:v>
                </c:pt>
                <c:pt idx="40">
                  <c:v>3</c:v>
                </c:pt>
                <c:pt idx="41">
                  <c:v>#N/A</c:v>
                </c:pt>
                <c:pt idx="42">
                  <c:v>3</c:v>
                </c:pt>
                <c:pt idx="43">
                  <c:v>3</c:v>
                </c:pt>
                <c:pt idx="44">
                  <c:v>#N/A</c:v>
                </c:pt>
                <c:pt idx="45">
                  <c:v>3</c:v>
                </c:pt>
                <c:pt idx="46">
                  <c:v>3</c:v>
                </c:pt>
                <c:pt idx="47">
                  <c:v>#N/A</c:v>
                </c:pt>
                <c:pt idx="48">
                  <c:v>4</c:v>
                </c:pt>
                <c:pt idx="49">
                  <c:v>4</c:v>
                </c:pt>
                <c:pt idx="50">
                  <c:v>#N/A</c:v>
                </c:pt>
                <c:pt idx="51">
                  <c:v>4</c:v>
                </c:pt>
                <c:pt idx="52">
                  <c:v>4</c:v>
                </c:pt>
                <c:pt idx="53">
                  <c:v>#N/A</c:v>
                </c:pt>
              </c:numCache>
            </c:numRef>
          </c:yVal>
          <c:smooth val="0"/>
          <c:extLst>
            <c:ext xmlns:c16="http://schemas.microsoft.com/office/drawing/2014/chart" uri="{C3380CC4-5D6E-409C-BE32-E72D297353CC}">
              <c16:uniqueId val="{00000008-47E2-4479-AA55-A96772533588}"/>
            </c:ext>
          </c:extLst>
        </c:ser>
        <c:ser>
          <c:idx val="8"/>
          <c:order val="8"/>
          <c:tx>
            <c:v>baseline 2</c:v>
          </c:tx>
          <c:spPr>
            <a:ln w="9525">
              <a:solidFill>
                <a:srgbClr val="808080"/>
              </a:solidFill>
            </a:ln>
          </c:spPr>
          <c:marker>
            <c:symbol val="none"/>
          </c:marker>
          <c:xVal>
            <c:numRef>
              <c:f>Line!$AL$78:$AL$83</c:f>
              <c:numCache>
                <c:formatCode>General</c:formatCode>
                <c:ptCount val="6"/>
                <c:pt idx="0">
                  <c:v>29.5</c:v>
                </c:pt>
                <c:pt idx="1">
                  <c:v>41.5</c:v>
                </c:pt>
                <c:pt idx="2">
                  <c:v>41.5</c:v>
                </c:pt>
                <c:pt idx="3">
                  <c:v>42.5</c:v>
                </c:pt>
                <c:pt idx="4">
                  <c:v>54.5</c:v>
                </c:pt>
                <c:pt idx="5">
                  <c:v>54.5</c:v>
                </c:pt>
              </c:numCache>
            </c:numRef>
          </c:xVal>
          <c:yVal>
            <c:numRef>
              <c:f>Line!$AM$78:$AM$83</c:f>
              <c:numCache>
                <c:formatCode>General</c:formatCode>
                <c:ptCount val="6"/>
                <c:pt idx="0">
                  <c:v>4</c:v>
                </c:pt>
                <c:pt idx="1">
                  <c:v>4</c:v>
                </c:pt>
                <c:pt idx="2">
                  <c:v>#N/A</c:v>
                </c:pt>
                <c:pt idx="3">
                  <c:v>4</c:v>
                </c:pt>
                <c:pt idx="4">
                  <c:v>4</c:v>
                </c:pt>
                <c:pt idx="5">
                  <c:v>#N/A</c:v>
                </c:pt>
              </c:numCache>
            </c:numRef>
          </c:yVal>
          <c:smooth val="0"/>
          <c:extLst>
            <c:ext xmlns:c16="http://schemas.microsoft.com/office/drawing/2014/chart" uri="{C3380CC4-5D6E-409C-BE32-E72D297353CC}">
              <c16:uniqueId val="{00000009-47E2-4479-AA55-A96772533588}"/>
            </c:ext>
          </c:extLst>
        </c:ser>
        <c:ser>
          <c:idx val="9"/>
          <c:order val="9"/>
          <c:tx>
            <c:v>ptitle</c:v>
          </c:tx>
          <c:spPr>
            <a:ln w="38100">
              <a:noFill/>
            </a:ln>
          </c:spPr>
          <c:marker>
            <c:symbol val="none"/>
          </c:marker>
          <c:dLbls>
            <c:dLbl>
              <c:idx val="0"/>
              <c:tx>
                <c:strRef>
                  <c:f>Line!$AQ$24</c:f>
                  <c:strCache>
                    <c:ptCount val="1"/>
                    <c:pt idx="0">
                      <c:v>Business partner 01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{35702784-F8D5-4F96-91B7-747BBD9CA2A8}</c15:txfldGUID>
                      <c15:f>Line!$AQ$24</c15:f>
                      <c15:dlblFieldTableCache>
                        <c:ptCount val="1"/>
                        <c:pt idx="0">
                          <c:v>Business partner 01</c:v>
                        </c:pt>
                      </c15:dlblFieldTableCache>
                    </c15:dlblFTEntry>
                  </c15:dlblFieldTable>
                  <c15:showDataLabelsRange val="0"/>
                </c:ext>
                <c:ext xmlns:c16="http://schemas.microsoft.com/office/drawing/2014/chart" uri="{C3380CC4-5D6E-409C-BE32-E72D297353CC}">
                  <c16:uniqueId val="{0000000C-47E2-4479-AA55-A96772533588}"/>
                </c:ext>
              </c:extLst>
            </c:dLbl>
            <c:dLbl>
              <c:idx val="1"/>
              <c:tx>
                <c:strRef>
                  <c:f>Line!$AQ$25</c:f>
                  <c:strCache>
                    <c:ptCount val="1"/>
                    <c:pt idx="0">
                      <c:v>Business partner 02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{59B6FF2F-96AA-4B17-817F-B4295C56407D}</c15:txfldGUID>
                      <c15:f>Line!$AQ$25</c15:f>
                      <c15:dlblFieldTableCache>
                        <c:ptCount val="1"/>
                        <c:pt idx="0">
                          <c:v>Business partner 02</c:v>
                        </c:pt>
                      </c15:dlblFieldTableCache>
                    </c15:dlblFTEntry>
                  </c15:dlblFieldTable>
                  <c15:showDataLabelsRange val="0"/>
                </c:ext>
                <c:ext xmlns:c16="http://schemas.microsoft.com/office/drawing/2014/chart" uri="{C3380CC4-5D6E-409C-BE32-E72D297353CC}">
                  <c16:uniqueId val="{0000000D-47E2-4479-AA55-A96772533588}"/>
                </c:ext>
              </c:extLst>
            </c:dLbl>
            <c:dLbl>
              <c:idx val="2"/>
              <c:tx>
                <c:strRef>
                  <c:f>Line!$AQ$26</c:f>
                  <c:strCache>
                    <c:ptCount val="1"/>
                    <c:pt idx="0">
                      <c:v>Business partner 03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{24DCC494-C2D8-420B-BA1E-6F38A98A5F96}</c15:txfldGUID>
                      <c15:f>Line!$AQ$26</c15:f>
                      <c15:dlblFieldTableCache>
                        <c:ptCount val="1"/>
                        <c:pt idx="0">
                          <c:v>Business partner 03</c:v>
                        </c:pt>
                      </c15:dlblFieldTableCache>
                    </c15:dlblFTEntry>
                  </c15:dlblFieldTable>
                  <c15:showDataLabelsRange val="0"/>
                </c:ext>
                <c:ext xmlns:c16="http://schemas.microsoft.com/office/drawing/2014/chart" uri="{C3380CC4-5D6E-409C-BE32-E72D297353CC}">
                  <c16:uniqueId val="{0000000E-47E2-4479-AA55-A96772533588}"/>
                </c:ext>
              </c:extLst>
            </c:dLbl>
            <c:dLbl>
              <c:idx val="3"/>
              <c:tx>
                <c:strRef>
                  <c:f>Line!$AQ$27</c:f>
                  <c:strCache>
                    <c:ptCount val="1"/>
                    <c:pt idx="0">
                      <c:v>Business partner 04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{838AE355-D835-42D6-A04B-5A72DCDC5F49}</c15:txfldGUID>
                      <c15:f>Line!$AQ$27</c15:f>
                      <c15:dlblFieldTableCache>
                        <c:ptCount val="1"/>
                        <c:pt idx="0">
                          <c:v>Business partner 04</c:v>
                        </c:pt>
                      </c15:dlblFieldTableCache>
                    </c15:dlblFTEntry>
                  </c15:dlblFieldTable>
                  <c15:showDataLabelsRange val="0"/>
                </c:ext>
                <c:ext xmlns:c16="http://schemas.microsoft.com/office/drawing/2014/chart" uri="{C3380CC4-5D6E-409C-BE32-E72D297353CC}">
                  <c16:uniqueId val="{0000000F-47E2-4479-AA55-A96772533588}"/>
                </c:ext>
              </c:extLst>
            </c:dLbl>
            <c:dLbl>
              <c:idx val="4"/>
              <c:tx>
                <c:strRef>
                  <c:f>Line!$AQ$28</c:f>
                  <c:strCache>
                    <c:ptCount val="1"/>
                    <c:pt idx="0">
                      <c:v>Business partner 05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{54BD298C-1B05-4FB0-B5B9-44751D400526}</c15:txfldGUID>
                      <c15:f>Line!$AQ$28</c15:f>
                      <c15:dlblFieldTableCache>
                        <c:ptCount val="1"/>
                        <c:pt idx="0">
                          <c:v>Business partner 05</c:v>
                        </c:pt>
                      </c15:dlblFieldTableCache>
                    </c15:dlblFTEntry>
                  </c15:dlblFieldTable>
                  <c15:showDataLabelsRange val="0"/>
                </c:ext>
                <c:ext xmlns:c16="http://schemas.microsoft.com/office/drawing/2014/chart" uri="{C3380CC4-5D6E-409C-BE32-E72D297353CC}">
                  <c16:uniqueId val="{00000010-47E2-4479-AA55-A96772533588}"/>
                </c:ext>
              </c:extLst>
            </c:dLbl>
            <c:dLbl>
              <c:idx val="5"/>
              <c:tx>
                <c:strRef>
                  <c:f>Line!$AQ$29</c:f>
                  <c:strCache>
                    <c:ptCount val="1"/>
                    <c:pt idx="0">
                      <c:v>Business partner 06</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{CAAF98A0-D292-4681-98FE-3187BEAAB679}</c15:txfldGUID>
                      <c15:f>Line!$AQ$29</c15:f>
                      <c15:dlblFieldTableCache>
                        <c:ptCount val="1"/>
                        <c:pt idx="0">
                          <c:v>Business partner 06</c:v>
                        </c:pt>
                      </c15:dlblFieldTableCache>
                    </c15:dlblFTEntry>
                  </c15:dlblFieldTable>
                  <c15:showDataLabelsRange val="0"/>
                </c:ext>
                <c:ext xmlns:c16="http://schemas.microsoft.com/office/drawing/2014/chart" uri="{C3380CC4-5D6E-409C-BE32-E72D297353CC}">
                  <c16:uniqueId val="{00000011-47E2-4479-AA55-A96772533588}"/>
                </c:ext>
              </c:extLst>
            </c:dLbl>
            <c:dLbl>
              <c:idx val="6"/>
              <c:tx>
                <c:strRef>
                  <c:f>Line!$AQ$30</c:f>
                  <c:strCache>
                    <c:ptCount val="1"/>
                    <c:pt idx="0">
                      <c:v>Business partner 07</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{9230EE69-47CF-4444-BEBD-434B2C3C83C7}</c15:txfldGUID>
                      <c15:f>Line!$AQ$30</c15:f>
                      <c15:dlblFieldTableCache>
                        <c:ptCount val="1"/>
                        <c:pt idx="0">
                          <c:v>Business partner 07</c:v>
                        </c:pt>
                      </c15:dlblFieldTableCache>
                    </c15:dlblFTEntry>
                  </c15:dlblFieldTable>
                  <c15:showDataLabelsRange val="0"/>
                </c:ext>
                <c:ext xmlns:c16="http://schemas.microsoft.com/office/drawing/2014/chart" uri="{C3380CC4-5D6E-409C-BE32-E72D297353CC}">
                  <c16:uniqueId val="{00000012-47E2-4479-AA55-A96772533588}"/>
                </c:ext>
              </c:extLst>
            </c:dLbl>
            <c:dLbl>
              <c:idx val="7"/>
              <c:tx>
                <c:strRef>
                  <c:f>Line!$AQ$31</c:f>
                  <c:strCache>
                    <c:ptCount val="1"/>
                    <c:pt idx="0">
                      <c:v>Business partner 08</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{D8BE9F34-2C69-45E7-AA6E-EFD8C9DF499A}</c15:txfldGUID>
                      <c15:f>Line!$AQ$31</c15:f>
                      <c15:dlblFieldTableCache>
                        <c:ptCount val="1"/>
                        <c:pt idx="0">
                          <c:v>Business partner 08</c:v>
                        </c:pt>
                      </c15:dlblFieldTableCache>
                    </c15:dlblFTEntry>
                  </c15:dlblFieldTable>
                  <c15:showDataLabelsRange val="0"/>
                </c:ext>
                <c:ext xmlns:c16="http://schemas.microsoft.com/office/drawing/2014/chart" uri="{C3380CC4-5D6E-409C-BE32-E72D297353CC}">
                  <c16:uniqueId val="{00000013-47E2-4479-AA55-A96772533588}"/>
                </c:ext>
              </c:extLst>
            </c:dLbl>
            <c:dLbl>
              <c:idx val="8"/>
              <c:tx>
                <c:strRef>
                  <c:f>Line!$AQ$32</c:f>
                  <c:strCache>
                    <c:ptCount val="1"/>
                    <c:pt idx="0">
                      <c:v>Business partner 09</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{050EED62-09D9-4910-A728-18B704AD11D7}</c15:txfldGUID>
                      <c15:f>Line!$AQ$32</c15:f>
                      <c15:dlblFieldTableCache>
                        <c:ptCount val="1"/>
                        <c:pt idx="0">
                          <c:v>Business partner 09</c:v>
                        </c:pt>
                      </c15:dlblFieldTableCache>
                    </c15:dlblFTEntry>
                  </c15:dlblFieldTable>
                  <c15:showDataLabelsRange val="0"/>
                </c:ext>
                <c:ext xmlns:c16="http://schemas.microsoft.com/office/drawing/2014/chart" uri="{C3380CC4-5D6E-409C-BE32-E72D297353CC}">
                  <c16:uniqueId val="{00000014-47E2-4479-AA55-A96772533588}"/>
                </c:ext>
              </c:extLst>
            </c:dLbl>
            <c:dLbl>
              <c:idx val="9"/>
              <c:tx>
                <c:strRef>
                  <c:f>Line!$AQ$33</c:f>
                  <c:strCache>
                    <c:ptCount val="1"/>
                    <c:pt idx="0">
                      <c:v>Business partner 10</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{66DDB05C-C5F3-40AF-AC82-63AC52BECD20}</c15:txfldGUID>
                      <c15:f>Line!$AQ$33</c15:f>
                      <c15:dlblFieldTableCache>
                        <c:ptCount val="1"/>
                        <c:pt idx="0">
                          <c:v>Business partner 10</c:v>
                        </c:pt>
                      </c15:dlblFieldTableCache>
                    </c15:dlblFTEntry>
                  </c15:dlblFieldTable>
                  <c15:showDataLabelsRange val="0"/>
                </c:ext>
                <c:ext xmlns:c16="http://schemas.microsoft.com/office/drawing/2014/chart" uri="{C3380CC4-5D6E-409C-BE32-E72D297353CC}">
                  <c16:uniqueId val="{00000015-47E2-4479-AA55-A96772533588}"/>
                </c:ext>
              </c:extLst>
            </c:dLbl>
            <c:dLbl>
              <c:idx val="10"/>
              <c:tx>
                <c:strRef>
                  <c:f>Line!$AQ$34</c:f>
                  <c:strCache>
                    <c:ptCount val="1"/>
                    <c:pt idx="0">
                      <c:v>Business partner 11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{AD323093-2864-45EB-82E8-0E3EA19EC506}</c15:txfldGUID>
                      <c15:f>Line!$AQ$34</c15:f>
                      <c15:dlblFieldTableCache>
                        <c:ptCount val="1"/>
                        <c:pt idx="0">
                          <c:v>Business partner 11</c:v>
                        </c:pt>
                      </c15:dlblFieldTableCache>
                    </c15:dlblFTEntry>
                  </c15:dlblFieldTable>
                  <c15:showDataLabelsRange val="0"/>
                </c:ext>
                <c:ext xmlns:c16="http://schemas.microsoft.com/office/drawing/2014/chart" uri="{C3380CC4-5D6E-409C-BE32-E72D297353CC}">
                  <c16:uniqueId val="{00000016-47E2-4479-AA55-A96772533588}"/>
                </c:ext>
              </c:extLst>
            </c:dLbl>
            <c:dLbl>
              <c:idx val="11"/>
              <c:tx>
                <c:strRef>
                  <c:f>Line!$AQ$35</c:f>
                  <c:strCache>
                    <c:ptCount val="1"/>
                    <c:pt idx="0">
                      <c:v>Business partner 12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{7E2BAFC5-6F82-45CB-9C57-3CA65BE89D39}</c15:txfldGUID>
                      <c15:f>Line!$AQ$35</c15:f>
                      <c15:dlblFieldTableCache>
                        <c:ptCount val="1"/>
                        <c:pt idx="0">
                          <c:v>Business partner 12</c:v>
                        </c:pt>
                      </c15:dlblFieldTableCache>
                    </c15:dlblFTEntry>
                  </c15:dlblFieldTable>
                  <c15:showDataLabelsRange val="0"/>
                </c:ext>
                <c:ext xmlns:c16="http://schemas.microsoft.com/office/drawing/2014/chart" uri="{C3380CC4-5D6E-409C-BE32-E72D297353CC}">
                  <c16:uniqueId val="{00000017-47E2-4479-AA55-A96772533588}"/>
                </c:ext>
              </c:extLst>
            </c:dLbl>
            <c:dLbl>
              <c:idx val="12"/>
              <c:tx>
                <c:strRef>
                  <c:f>Line!$AQ$36</c:f>
                  <c:strCache>
                    <c:ptCount val="1"/>
                    <c:pt idx="0">
                      <c:v>Business partner 13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{8BE13FB9-942C-48D3-AD05-263EC854B3F7}</c15:txfldGUID>
                      <c15:f>Line!$AQ$36</c15:f>
                      <c15:dlblFieldTableCache>
                        <c:ptCount val="1"/>
                        <c:pt idx="0">
                          <c:v>Business partner 13</c:v>
                        </c:pt>
                      </c15:dlblFieldTableCache>
                    </c15:dlblFTEntry>
                  </c15:dlblFieldTable>
                  <c15:showDataLabelsRange val="0"/>
                </c:ext>
                <c:ext xmlns:c16="http://schemas.microsoft.com/office/drawing/2014/chart" uri="{C3380CC4-5D6E-409C-BE32-E72D297353CC}">
                  <c16:uniqueId val="{00000018-47E2-4479-AA55-A96772533588}"/>
                </c:ext>
              </c:extLst>
            </c:dLbl>
            <c:dLbl>
              <c:idx val="13"/>
              <c:tx>
                <c:strRef>
                  <c:f>Line!$AQ$37</c:f>
                  <c:strCache>
                    <c:ptCount val="1"/>
                    <c:pt idx="0">
                      <c:v>Business partner 14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{D6F74EE8-7584-4C7D-AE43-F55D9F33467F}</c15:txfldGUID>
                      <c15:f>Line!$AQ$37</c15:f>
                      <c15:dlblFieldTableCache>
                        <c:ptCount val="1"/>
                        <c:pt idx="0">
                          <c:v>Business partner 14</c:v>
                        </c:pt>
                      </c15:dlblFieldTableCache>
                    </c15:dlblFTEntry>
                  </c15:dlblFieldTable>
                  <c15:showDataLabelsRange val="0"/>
                </c:ext>
                <c:ext xmlns:c16="http://schemas.microsoft.com/office/drawing/2014/chart" uri="{C3380CC4-5D6E-409C-BE32-E72D297353CC}">
                  <c16:uniqueId val="{00000019-47E2-4479-AA55-A96772533588}"/>
                </c:ext>
              </c:extLst>
            </c:dLbl>
            <c:dLbl>
              <c:idx val="14"/>
              <c:tx>
                <c:strRef>
                  <c:f>Line!$AQ$38</c:f>
                  <c:strCache>
                    <c:ptCount val="1"/>
                    <c:pt idx="0">
                      <c:v>Business partner 15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{CAF18A42-7A07-4B8F-A8E0-016B54D4ADF6}</c15:txfldGUID>
                      <c15:f>Line!$AQ$38</c15:f>
                      <c15:dlblFieldTableCache>
                        <c:ptCount val="1"/>
                        <c:pt idx="0">
                          <c:v>Business partner 15</c:v>
                        </c:pt>
                      </c15:dlblFieldTableCache>
                    </c15:dlblFTEntry>
                  </c15:dlblFieldTable>
                  <c15:showDataLabelsRange val="0"/>
                </c:ext>
                <c:ext xmlns:c16="http://schemas.microsoft.com/office/drawing/2014/chart" uri="{C3380CC4-5D6E-409C-BE32-E72D297353CC}">
                  <c16:uniqueId val="{0000001A-47E2-4479-AA55-A96772533588}"/>
                </c:ext>
              </c:extLst>
            </c:dLbl>
            <c:dLbl>
              <c:idx val="15"/>
              <c:tx>
                <c:strRef>
                  <c:f>Line!$AQ$39</c:f>
                  <c:strCache>
                    <c:ptCount val="1"/>
                    <c:pt idx="0">
                      <c:v>Business partner 16</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{E2A008CA-C9BC-413B-95D2-172A657BE0FC}</c15:txfldGUID>
                      <c15:f>Line!$AQ$39</c15:f>
                      <c15:dlblFieldTableCache>
                        <c:ptCount val="1"/>
                        <c:pt idx="0">
                          <c:v>Business partner 16</c:v>
                        </c:pt>
                      </c15:dlblFieldTableCache>
                    </c15:dlblFTEntry>
                  </c15:dlblFieldTable>
                  <c15:showDataLabelsRange val="0"/>
                </c:ext>
                <c:ext xmlns:c16="http://schemas.microsoft.com/office/drawing/2014/chart" uri="{C3380CC4-5D6E-409C-BE32-E72D297353CC}">
                  <c16:uniqueId val="{0000001B-47E2-4479-AA55-A96772533588}"/>
                </c:ext>
              </c:extLst>
            </c:dLbl>
            <c:dLbl>
              <c:idx val="16"/>
              <c:tx>
                <c:strRef>
                  <c:f>Line!$AQ$40</c:f>
                  <c:strCache>
                    <c:ptCount val="1"/>
                    <c:pt idx="0">
                      <c:v>Business partner 17</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{82B30C96-203B-40C8-B500-A0475FDDE9C5}</c15:txfldGUID>
                      <c15:f>Line!$AQ$40</c15:f>
                      <c15:dlblFieldTableCache>
                        <c:ptCount val="1"/>
                        <c:pt idx="0">
                          <c:v>Business partner 17</c:v>
                        </c:pt>
                      </c15:dlblFieldTableCache>
                    </c15:dlblFTEntry>
                  </c15:dlblFieldTable>
                  <c15:showDataLabelsRange val="0"/>
                </c:ext>
                <c:ext xmlns:c16="http://schemas.microsoft.com/office/drawing/2014/chart" uri="{C3380CC4-5D6E-409C-BE32-E72D297353CC}">
                  <c16:uniqueId val="{0000001C-47E2-4479-AA55-A96772533588}"/>
                </c:ext>
              </c:extLst>
            </c:dLbl>
            <c:dLbl>
              <c:idx val="17"/>
              <c:tx>
                <c:strRef>
                  <c:f>Line!$AQ$41</c:f>
                  <c:strCache>
                    <c:ptCount val="1"/>
                    <c:pt idx="0">
                      <c:v>Business partner 18</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{01B997CC-F333-4AC4-BC7A-9DFC7E0962E7}</c15:txfldGUID>
                      <c15:f>Line!$AQ$41</c15:f>
                      <c15:dlblFieldTableCache>
                        <c:ptCount val="1"/>
                        <c:pt idx="0">
                          <c:v>Business partner 18</c:v>
                        </c:pt>
                      </c15:dlblFieldTableCache>
                    </c15:dlblFTEntry>
                  </c15:dlblFieldTable>
                  <c15:showDataLabelsRange val="0"/>
                </c:ext>
                <c:ext xmlns:c16="http://schemas.microsoft.com/office/drawing/2014/chart" uri="{C3380CC4-5D6E-409C-BE32-E72D297353CC}">
                  <c16:uniqueId val="{0000001D-47E2-4479-AA55-A96772533588}"/>
                </c:ext>
              </c:extLst>
            </c:dLbl>
            <c:dLbl>
              <c:idx val="18"/>
              <c:tx>
                <c:strRef>
                  <c:f>Line!$AQ$42</c:f>
                  <c:strCache>
                    <c:ptCount val="1"/>
                    <c:pt idx="0">
                      <c:v>Business partner 19</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{167C7480-9F16-4EA5-9A64-62ED3511D63A}</c15:txfldGUID>
                      <c15:f>Line!$AQ$42</c15:f>
                      <c15:dlblFieldTableCache>
                        <c:ptCount val="1"/>
                        <c:pt idx="0">
                          <c:v>Business partner 19</c:v>
                        </c:pt>
                      </c15:dlblFieldTableCache>
                    </c15:dlblFTEntry>
                  </c15:dlblFieldTable>
                  <c15:showDataLabelsRange val="0"/>
                </c:ext>
                <c:ext xmlns:c16="http://schemas.microsoft.com/office/drawing/2014/chart" uri="{C3380CC4-5D6E-409C-BE32-E72D297353CC}">
                  <c16:uniqueId val="{0000001E-47E2-4479-AA55-A96772533588}"/>
                </c:ext>
              </c:extLst>
            </c:dLbl>
            <c:dLbl>
              <c:idx val="19"/>
              <c:tx>
                <c:strRef>
                  <c:f>Line!$AQ$43</c:f>
                  <c:strCache>
                    <c:ptCount val="1"/>
                    <c:pt idx="0">
                      <c:v>Business partner 20</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{DC70EB58-9DBC-495E-922D-B2D40CEB64DA}</c15:txfldGUID>
                      <c15:f>Line!$AQ$43</c15:f>
                      <c15:dlblFieldTableCache>
                        <c:ptCount val="1"/>
                        <c:pt idx="0">
                          <c:v>Business partner 20</c:v>
                        </c:pt>
                      </c15:dlblFieldTableCache>
                    </c15:dlblFTEntry>
                  </c15:dlblFieldTable>
                  <c15:showDataLabelsRange val="0"/>
                </c:ext>
                <c:ext xmlns:c16="http://schemas.microsoft.com/office/drawing/2014/chart" uri="{C3380CC4-5D6E-409C-BE32-E72D297353CC}">
                  <c16:uniqueId val="{0000001F-47E2-4479-AA55-A967725335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Line!$AO$24:$AO$43</c:f>
              <c:numCache>
                <c:formatCode>General</c:formatCode>
                <c:ptCount val="20"/>
                <c:pt idx="0">
                  <c:v>4</c:v>
                </c:pt>
                <c:pt idx="1">
                  <c:v>17</c:v>
                </c:pt>
                <c:pt idx="2">
                  <c:v>30</c:v>
                </c:pt>
                <c:pt idx="3">
                  <c:v>43</c:v>
                </c:pt>
                <c:pt idx="4">
                  <c:v>4</c:v>
                </c:pt>
                <c:pt idx="5">
                  <c:v>17</c:v>
                </c:pt>
                <c:pt idx="6">
                  <c:v>30</c:v>
                </c:pt>
                <c:pt idx="7">
                  <c:v>43</c:v>
                </c:pt>
                <c:pt idx="8">
                  <c:v>4</c:v>
                </c:pt>
                <c:pt idx="9">
                  <c:v>17</c:v>
                </c:pt>
                <c:pt idx="10">
                  <c:v>30</c:v>
                </c:pt>
                <c:pt idx="11">
                  <c:v>43</c:v>
                </c:pt>
                <c:pt idx="12">
                  <c:v>4</c:v>
                </c:pt>
                <c:pt idx="13">
                  <c:v>17</c:v>
                </c:pt>
                <c:pt idx="14">
                  <c:v>30</c:v>
                </c:pt>
                <c:pt idx="15">
                  <c:v>43</c:v>
                </c:pt>
                <c:pt idx="16">
                  <c:v>4</c:v>
                </c:pt>
                <c:pt idx="17">
                  <c:v>17</c:v>
                </c:pt>
                <c:pt idx="18">
                  <c:v>30</c:v>
                </c:pt>
                <c:pt idx="19">
                  <c:v>43</c:v>
                </c:pt>
              </c:numCache>
            </c:numRef>
          </c:xVal>
          <c:yVal>
            <c:numRef>
              <c:f>Line!$AP$24:$AP$43</c:f>
              <c:numCache>
                <c:formatCode>General</c:formatCode>
                <c:ptCount val="20"/>
                <c:pt idx="0">
                  <c:v>4.8500000000000005</c:v>
                </c:pt>
                <c:pt idx="1">
                  <c:v>4.8500000000000005</c:v>
                </c:pt>
                <c:pt idx="2">
                  <c:v>4.8500000000000005</c:v>
                </c:pt>
                <c:pt idx="3">
                  <c:v>4.8500000000000005</c:v>
                </c:pt>
                <c:pt idx="4">
                  <c:v>3.8499999999999996</c:v>
                </c:pt>
                <c:pt idx="5">
                  <c:v>3.8499999999999996</c:v>
                </c:pt>
                <c:pt idx="6">
                  <c:v>3.8499999999999996</c:v>
                </c:pt>
                <c:pt idx="7">
                  <c:v>3.8499999999999996</c:v>
                </c:pt>
                <c:pt idx="8">
                  <c:v>2.8499999999999996</c:v>
                </c:pt>
                <c:pt idx="9">
                  <c:v>2.8499999999999996</c:v>
                </c:pt>
                <c:pt idx="10">
                  <c:v>2.8499999999999996</c:v>
                </c:pt>
                <c:pt idx="11">
                  <c:v>2.8499999999999996</c:v>
                </c:pt>
                <c:pt idx="12">
                  <c:v>1.8499999999999999</c:v>
                </c:pt>
                <c:pt idx="13">
                  <c:v>1.8499999999999999</c:v>
                </c:pt>
                <c:pt idx="14">
                  <c:v>1.8499999999999999</c:v>
                </c:pt>
                <c:pt idx="15">
                  <c:v>1.8499999999999999</c:v>
                </c:pt>
                <c:pt idx="16">
                  <c:v>0.85</c:v>
                </c:pt>
                <c:pt idx="17">
                  <c:v>0.85</c:v>
                </c:pt>
                <c:pt idx="18">
                  <c:v>0.85</c:v>
                </c:pt>
                <c:pt idx="19">
                  <c:v>0.85</c:v>
                </c:pt>
              </c:numCache>
            </c:numRef>
          </c:yVal>
          <c:smooth val="0"/>
          <c:extLst>
            <c:ext xmlns:c16="http://schemas.microsoft.com/office/drawing/2014/chart" uri="{C3380CC4-5D6E-409C-BE32-E72D297353CC}">
              <c16:uniqueId val="{0000000A-47E2-4479-AA55-A96772533588}"/>
            </c:ext>
          </c:extLst>
        </c:ser>
        <c:ser>
          <c:idx val="10"/>
          <c:order val="10"/>
          <c:tx>
            <c:v>ytick</c:v>
          </c:tx>
          <c:spPr>
            <a:ln w="38100">
              <a:noFill/>
            </a:ln>
          </c:spPr>
          <c:marker>
            <c:symbol val="none"/>
          </c:marker>
          <c:dLbls>
            <c:dLbl>
              <c:idx val="0"/>
              <c:tx>
                <c:strRef>
                  <c:f>Line!$AU$24</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{A2E70FD3-1276-4AB4-A3DA-858A259A8CD4}</c15:txfldGUID>
                      <c15:f>Line!$AU$24</c15:f>
                      <c15:dlblFieldTableCache>
                        <c:ptCount val="1"/>
                        <c:pt idx="0">
                          <c:v>0</c:v>
                        </c:pt>
                      </c15:dlblFieldTableCache>
                    </c15:dlblFTEntry>
                  </c15:dlblFieldTable>
                  <c15:showDataLabelsRange val="0"/>
                </c:ext>
                <c:ext xmlns:c16="http://schemas.microsoft.com/office/drawing/2014/chart" uri="{C3380CC4-5D6E-409C-BE32-E72D297353CC}">
                  <c16:uniqueId val="{00000020-47E2-4479-AA55-A96772533588}"/>
                </c:ext>
              </c:extLst>
            </c:dLbl>
            <c:dLbl>
              <c:idx val="1"/>
              <c:tx>
                <c:strRef>
                  <c:f>Line!$AU$25</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{D294B472-967C-4195-84E9-48859D27A159}</c15:txfldGUID>
                      <c15:f>Line!$AU$25</c15:f>
                      <c15:dlblFieldTableCache>
                        <c:ptCount val="1"/>
                        <c:pt idx="0">
                          <c:v>750</c:v>
                        </c:pt>
                      </c15:dlblFieldTableCache>
                    </c15:dlblFTEntry>
                  </c15:dlblFieldTable>
                  <c15:showDataLabelsRange val="0"/>
                </c:ext>
                <c:ext xmlns:c16="http://schemas.microsoft.com/office/drawing/2014/chart" uri="{C3380CC4-5D6E-409C-BE32-E72D297353CC}">
                  <c16:uniqueId val="{00000021-47E2-4479-AA55-A96772533588}"/>
                </c:ext>
              </c:extLst>
            </c:dLbl>
            <c:dLbl>
              <c:idx val="2"/>
              <c:tx>
                <c:strRef>
                  <c:f>Line!$AU$26</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{BC216ED6-EA1F-4E63-A027-7E66B7B6C303}</c15:txfldGUID>
                      <c15:f>Line!$AU$26</c15:f>
                      <c15:dlblFieldTableCache>
                        <c:ptCount val="1"/>
                        <c:pt idx="0">
                          <c:v>1,500</c:v>
                        </c:pt>
                      </c15:dlblFieldTableCache>
                    </c15:dlblFTEntry>
                  </c15:dlblFieldTable>
                  <c15:showDataLabelsRange val="0"/>
                </c:ext>
                <c:ext xmlns:c16="http://schemas.microsoft.com/office/drawing/2014/chart" uri="{C3380CC4-5D6E-409C-BE32-E72D297353CC}">
                  <c16:uniqueId val="{00000022-47E2-4479-AA55-A96772533588}"/>
                </c:ext>
              </c:extLst>
            </c:dLbl>
            <c:dLbl>
              <c:idx val="3"/>
              <c:tx>
                <c:strRef>
                  <c:f>Line!$AU$27</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{5345C777-3341-4C3D-89CE-F58285814364}</c15:txfldGUID>
                      <c15:f>Line!$AU$27</c15:f>
                      <c15:dlblFieldTableCache>
                        <c:ptCount val="1"/>
                        <c:pt idx="0">
                          <c:v>0</c:v>
                        </c:pt>
                      </c15:dlblFieldTableCache>
                    </c15:dlblFTEntry>
                  </c15:dlblFieldTable>
                  <c15:showDataLabelsRange val="0"/>
                </c:ext>
                <c:ext xmlns:c16="http://schemas.microsoft.com/office/drawing/2014/chart" uri="{C3380CC4-5D6E-409C-BE32-E72D297353CC}">
                  <c16:uniqueId val="{00000023-47E2-4479-AA55-A96772533588}"/>
                </c:ext>
              </c:extLst>
            </c:dLbl>
            <c:dLbl>
              <c:idx val="4"/>
              <c:tx>
                <c:strRef>
                  <c:f>Line!$AU$28</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{11963036-5E9B-48D8-9C18-E8A0F2420832}</c15:txfldGUID>
                      <c15:f>Line!$AU$28</c15:f>
                      <c15:dlblFieldTableCache>
                        <c:ptCount val="1"/>
                        <c:pt idx="0">
                          <c:v>750</c:v>
                        </c:pt>
                      </c15:dlblFieldTableCache>
                    </c15:dlblFTEntry>
                  </c15:dlblFieldTable>
                  <c15:showDataLabelsRange val="0"/>
                </c:ext>
                <c:ext xmlns:c16="http://schemas.microsoft.com/office/drawing/2014/chart" uri="{C3380CC4-5D6E-409C-BE32-E72D297353CC}">
                  <c16:uniqueId val="{00000024-47E2-4479-AA55-A96772533588}"/>
                </c:ext>
              </c:extLst>
            </c:dLbl>
            <c:dLbl>
              <c:idx val="5"/>
              <c:tx>
                <c:strRef>
                  <c:f>Line!$AU$29</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{EF61DF30-FB4A-42A1-A711-FCBFCBD0844F}</c15:txfldGUID>
                      <c15:f>Line!$AU$29</c15:f>
                      <c15:dlblFieldTableCache>
                        <c:ptCount val="1"/>
                        <c:pt idx="0">
                          <c:v>1,500</c:v>
                        </c:pt>
                      </c15:dlblFieldTableCache>
                    </c15:dlblFTEntry>
                  </c15:dlblFieldTable>
                  <c15:showDataLabelsRange val="0"/>
                </c:ext>
                <c:ext xmlns:c16="http://schemas.microsoft.com/office/drawing/2014/chart" uri="{C3380CC4-5D6E-409C-BE32-E72D297353CC}">
                  <c16:uniqueId val="{00000025-47E2-4479-AA55-A96772533588}"/>
                </c:ext>
              </c:extLst>
            </c:dLbl>
            <c:dLbl>
              <c:idx val="6"/>
              <c:tx>
                <c:strRef>
                  <c:f>Line!$AU$30</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{21E502C3-2501-4941-85FF-62D600B26A68}</c15:txfldGUID>
                      <c15:f>Line!$AU$30</c15:f>
                      <c15:dlblFieldTableCache>
                        <c:ptCount val="1"/>
                        <c:pt idx="0">
                          <c:v>0</c:v>
                        </c:pt>
                      </c15:dlblFieldTableCache>
                    </c15:dlblFTEntry>
                  </c15:dlblFieldTable>
                  <c15:showDataLabelsRange val="0"/>
                </c:ext>
                <c:ext xmlns:c16="http://schemas.microsoft.com/office/drawing/2014/chart" uri="{C3380CC4-5D6E-409C-BE32-E72D297353CC}">
                  <c16:uniqueId val="{00000026-47E2-4479-AA55-A96772533588}"/>
                </c:ext>
              </c:extLst>
            </c:dLbl>
            <c:dLbl>
              <c:idx val="7"/>
              <c:tx>
                <c:strRef>
                  <c:f>Line!$AU$31</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{8CA1F766-7318-43CC-BF5E-4E1B8391D004}</c15:txfldGUID>
                      <c15:f>Line!$AU$31</c15:f>
                      <c15:dlblFieldTableCache>
                        <c:ptCount val="1"/>
                        <c:pt idx="0">
                          <c:v>750</c:v>
                        </c:pt>
                      </c15:dlblFieldTableCache>
                    </c15:dlblFTEntry>
                  </c15:dlblFieldTable>
                  <c15:showDataLabelsRange val="0"/>
                </c:ext>
                <c:ext xmlns:c16="http://schemas.microsoft.com/office/drawing/2014/chart" uri="{C3380CC4-5D6E-409C-BE32-E72D297353CC}">
                  <c16:uniqueId val="{00000027-47E2-4479-AA55-A96772533588}"/>
                </c:ext>
              </c:extLst>
            </c:dLbl>
            <c:dLbl>
              <c:idx val="8"/>
              <c:tx>
                <c:strRef>
                  <c:f>Line!$AU$32</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{7CBA9D3C-A899-445A-AAC9-FE5E4D19E5C9}</c15:txfldGUID>
                      <c15:f>Line!$AU$32</c15:f>
                      <c15:dlblFieldTableCache>
                        <c:ptCount val="1"/>
                        <c:pt idx="0">
                          <c:v>1,500</c:v>
                        </c:pt>
                      </c15:dlblFieldTableCache>
                    </c15:dlblFTEntry>
                  </c15:dlblFieldTable>
                  <c15:showDataLabelsRange val="0"/>
                </c:ext>
                <c:ext xmlns:c16="http://schemas.microsoft.com/office/drawing/2014/chart" uri="{C3380CC4-5D6E-409C-BE32-E72D297353CC}">
                  <c16:uniqueId val="{00000028-47E2-4479-AA55-A96772533588}"/>
                </c:ext>
              </c:extLst>
            </c:dLbl>
            <c:dLbl>
              <c:idx val="9"/>
              <c:tx>
                <c:strRef>
                  <c:f>Line!$AU$33</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{B9FA62F4-968D-4E85-A3FA-BFCBCCC03DAA}</c15:txfldGUID>
                      <c15:f>Line!$AU$33</c15:f>
                      <c15:dlblFieldTableCache>
                        <c:ptCount val="1"/>
                        <c:pt idx="0">
                          <c:v>0</c:v>
                        </c:pt>
                      </c15:dlblFieldTableCache>
                    </c15:dlblFTEntry>
                  </c15:dlblFieldTable>
                  <c15:showDataLabelsRange val="0"/>
                </c:ext>
                <c:ext xmlns:c16="http://schemas.microsoft.com/office/drawing/2014/chart" uri="{C3380CC4-5D6E-409C-BE32-E72D297353CC}">
                  <c16:uniqueId val="{00000029-47E2-4479-AA55-A96772533588}"/>
                </c:ext>
              </c:extLst>
            </c:dLbl>
            <c:dLbl>
              <c:idx val="10"/>
              <c:tx>
                <c:strRef>
                  <c:f>Line!$AU$34</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{92A99F50-AD3A-49F1-94BE-30A0ED8310E2}</c15:txfldGUID>
                      <c15:f>Line!$AU$34</c15:f>
                      <c15:dlblFieldTableCache>
                        <c:ptCount val="1"/>
                        <c:pt idx="0">
                          <c:v>750</c:v>
                        </c:pt>
                      </c15:dlblFieldTableCache>
                    </c15:dlblFTEntry>
                  </c15:dlblFieldTable>
                  <c15:showDataLabelsRange val="0"/>
                </c:ext>
                <c:ext xmlns:c16="http://schemas.microsoft.com/office/drawing/2014/chart" uri="{C3380CC4-5D6E-409C-BE32-E72D297353CC}">
                  <c16:uniqueId val="{0000002A-47E2-4479-AA55-A96772533588}"/>
                </c:ext>
              </c:extLst>
            </c:dLbl>
            <c:dLbl>
              <c:idx val="11"/>
              <c:tx>
                <c:strRef>
                  <c:f>Line!$AU$35</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{C1B306EB-85F8-415B-8E7B-0D49699A5ABF}</c15:txfldGUID>
                      <c15:f>Line!$AU$35</c15:f>
                      <c15:dlblFieldTableCache>
                        <c:ptCount val="1"/>
                        <c:pt idx="0">
                          <c:v>1,500</c:v>
                        </c:pt>
                      </c15:dlblFieldTableCache>
                    </c15:dlblFTEntry>
                  </c15:dlblFieldTable>
                  <c15:showDataLabelsRange val="0"/>
                </c:ext>
                <c:ext xmlns:c16="http://schemas.microsoft.com/office/drawing/2014/chart" uri="{C3380CC4-5D6E-409C-BE32-E72D297353CC}">
                  <c16:uniqueId val="{0000002B-47E2-4479-AA55-A96772533588}"/>
                </c:ext>
              </c:extLst>
            </c:dLbl>
            <c:dLbl>
              <c:idx val="12"/>
              <c:tx>
                <c:strRef>
                  <c:f>Line!$AU$36</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{F0E0237C-80BF-4FA7-ABB7-021AA6FD7427}</c15:txfldGUID>
                      <c15:f>Line!$AU$36</c15:f>
                      <c15:dlblFieldTableCache>
                        <c:ptCount val="1"/>
                        <c:pt idx="0">
                          <c:v>0</c:v>
                        </c:pt>
                      </c15:dlblFieldTableCache>
                    </c15:dlblFTEntry>
                  </c15:dlblFieldTable>
                  <c15:showDataLabelsRange val="0"/>
                </c:ext>
                <c:ext xmlns:c16="http://schemas.microsoft.com/office/drawing/2014/chart" uri="{C3380CC4-5D6E-409C-BE32-E72D297353CC}">
                  <c16:uniqueId val="{0000002C-47E2-4479-AA55-A96772533588}"/>
                </c:ext>
              </c:extLst>
            </c:dLbl>
            <c:dLbl>
              <c:idx val="13"/>
              <c:tx>
                <c:strRef>
                  <c:f>Line!$AU$37</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{FC058C4B-E0BB-4795-B8C5-79483D15D8B4}</c15:txfldGUID>
                      <c15:f>Line!$AU$37</c15:f>
                      <c15:dlblFieldTableCache>
                        <c:ptCount val="1"/>
                        <c:pt idx="0">
                          <c:v>750</c:v>
                        </c:pt>
                      </c15:dlblFieldTableCache>
                    </c15:dlblFTEntry>
                  </c15:dlblFieldTable>
                  <c15:showDataLabelsRange val="0"/>
                </c:ext>
                <c:ext xmlns:c16="http://schemas.microsoft.com/office/drawing/2014/chart" uri="{C3380CC4-5D6E-409C-BE32-E72D297353CC}">
                  <c16:uniqueId val="{0000002D-47E2-4479-AA55-A96772533588}"/>
                </c:ext>
              </c:extLst>
            </c:dLbl>
            <c:dLbl>
              <c:idx val="14"/>
              <c:tx>
                <c:strRef>
                  <c:f>Line!$AU$38</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{C78C8944-B203-45B0-AB87-02A061BA8697}</c15:txfldGUID>
                      <c15:f>Line!$AU$38</c15:f>
                      <c15:dlblFieldTableCache>
                        <c:ptCount val="1"/>
                        <c:pt idx="0">
                          <c:v>1,500</c:v>
                        </c:pt>
                      </c15:dlblFieldTableCache>
                    </c15:dlblFTEntry>
                  </c15:dlblFieldTable>
                  <c15:showDataLabelsRange val="0"/>
                </c:ext>
                <c:ext xmlns:c16="http://schemas.microsoft.com/office/drawing/2014/chart" uri="{C3380CC4-5D6E-409C-BE32-E72D297353CC}">
                  <c16:uniqueId val="{0000002E-47E2-4479-AA55-A967725335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Line!$AS$24:$AS$38</c:f>
              <c:numCache>
                <c:formatCode>General</c:formatCode>
                <c:ptCount val="15"/>
                <c:pt idx="0">
                  <c:v>3.35</c:v>
                </c:pt>
                <c:pt idx="1">
                  <c:v>3.35</c:v>
                </c:pt>
                <c:pt idx="2">
                  <c:v>3.35</c:v>
                </c:pt>
                <c:pt idx="3">
                  <c:v>3.35</c:v>
                </c:pt>
                <c:pt idx="4">
                  <c:v>3.35</c:v>
                </c:pt>
                <c:pt idx="5">
                  <c:v>3.35</c:v>
                </c:pt>
                <c:pt idx="6">
                  <c:v>3.35</c:v>
                </c:pt>
                <c:pt idx="7">
                  <c:v>3.35</c:v>
                </c:pt>
                <c:pt idx="8">
                  <c:v>3.35</c:v>
                </c:pt>
                <c:pt idx="9">
                  <c:v>3.35</c:v>
                </c:pt>
                <c:pt idx="10">
                  <c:v>3.35</c:v>
                </c:pt>
                <c:pt idx="11">
                  <c:v>3.35</c:v>
                </c:pt>
                <c:pt idx="12">
                  <c:v>3.35</c:v>
                </c:pt>
                <c:pt idx="13">
                  <c:v>3.35</c:v>
                </c:pt>
                <c:pt idx="14">
                  <c:v>3.35</c:v>
                </c:pt>
              </c:numCache>
            </c:numRef>
          </c:xVal>
          <c:yVal>
            <c:numRef>
              <c:f>Line!$AT$24:$AT$38</c:f>
              <c:numCache>
                <c:formatCode>General</c:formatCode>
                <c:ptCount val="15"/>
                <c:pt idx="0">
                  <c:v>0</c:v>
                </c:pt>
                <c:pt idx="1">
                  <c:v>0.41</c:v>
                </c:pt>
                <c:pt idx="2">
                  <c:v>0.82</c:v>
                </c:pt>
                <c:pt idx="3">
                  <c:v>1</c:v>
                </c:pt>
                <c:pt idx="4">
                  <c:v>1.41</c:v>
                </c:pt>
                <c:pt idx="5">
                  <c:v>1.8199999999999998</c:v>
                </c:pt>
                <c:pt idx="6">
                  <c:v>2</c:v>
                </c:pt>
                <c:pt idx="7">
                  <c:v>2.41</c:v>
                </c:pt>
                <c:pt idx="8">
                  <c:v>2.82</c:v>
                </c:pt>
                <c:pt idx="9">
                  <c:v>3</c:v>
                </c:pt>
                <c:pt idx="10">
                  <c:v>3.41</c:v>
                </c:pt>
                <c:pt idx="11">
                  <c:v>3.82</c:v>
                </c:pt>
                <c:pt idx="12">
                  <c:v>4</c:v>
                </c:pt>
                <c:pt idx="13">
                  <c:v>4.41</c:v>
                </c:pt>
                <c:pt idx="14">
                  <c:v>4.82</c:v>
                </c:pt>
              </c:numCache>
            </c:numRef>
          </c:yVal>
          <c:smooth val="0"/>
          <c:extLst>
            <c:ext xmlns:c16="http://schemas.microsoft.com/office/drawing/2014/chart" uri="{C3380CC4-5D6E-409C-BE32-E72D297353CC}">
              <c16:uniqueId val="{0000000B-47E2-4479-AA55-A96772533588}"/>
            </c:ext>
          </c:extLst>
        </c:ser>
        <c:dLbls>
          <c:showLegendKey val="0"/>
          <c:showVal val="0"/>
          <c:showCatName val="0"/>
          <c:showSerName val="0"/>
          <c:showPercent val="0"/>
          <c:showBubbleSize val="0"/>
        </c:dLbls>
        <c:axId val="1904831343"/>
        <c:axId val="1904827983"/>
      </c:scatterChart>
      <c:catAx>
        <c:axId val="1971854127"/>
        <c:scaling>
          <c:orientation val="minMax"/>
        </c:scaling>
        <c:delete val="0"/>
        <c:axPos val="b"/>
        <c:numFmt formatCode="General" sourceLinked="1"/>
        <c:majorTickMark val="none"/>
        <c:minorTickMark val="none"/>
        <c:tickLblPos val="low"/>
        <c:spPr>
          <a:ln>
            <a:solidFill>
              <a:srgbClr val="A6A6A6"/>
            </a:solidFill>
          </a:ln>
        </c:spPr>
        <c:txPr>
          <a:bodyPr/>
          <a:lstStyle/>
          <a:p>
            <a:pPr>
              <a:defRPr sz="800"/>
            </a:pPr>
            <a:endParaRPr lang="en-US"/>
          </a:p>
        </c:txPr>
        <c:crossAx val="1904815503"/>
        <c:crosses val="autoZero"/>
        <c:auto val="1"/>
        <c:lblAlgn val="ctr"/>
        <c:lblOffset val="100"/>
        <c:noMultiLvlLbl val="0"/>
      </c:catAx>
      <c:valAx>
        <c:axId val="1904815503"/>
        <c:scaling>
          <c:orientation val="minMax"/>
          <c:max val="5"/>
          <c:min val="0"/>
        </c:scaling>
        <c:delete val="0"/>
        <c:axPos val="l"/>
        <c:numFmt formatCode="General"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1971854127"/>
        <c:crosses val="autoZero"/>
        <c:crossBetween val="between"/>
      </c:valAx>
      <c:valAx>
        <c:axId val="1904827983"/>
        <c:scaling>
          <c:orientation val="minMax"/>
          <c:max val="5"/>
          <c:min val="0"/>
        </c:scaling>
        <c:delete val="0"/>
        <c:axPos val="r"/>
        <c:numFmt formatCode="General"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1904831343"/>
        <c:crosses val="max"/>
        <c:crossBetween val="midCat"/>
      </c:valAx>
      <c:valAx>
        <c:axId val="1904831343"/>
        <c:scaling>
          <c:orientation val="minMax"/>
          <c:max val="54.5"/>
          <c:min val="0.5"/>
        </c:scaling>
        <c:delete val="1"/>
        <c:axPos val="b"/>
        <c:numFmt formatCode="General" sourceLinked="1"/>
        <c:majorTickMark val="none"/>
        <c:minorTickMark val="none"/>
        <c:tickLblPos val="none"/>
        <c:crossAx val="1904827983"/>
        <c:crossBetween val="midCat"/>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a:pPr>
            <a:r>
              <a:rPr lang="en-US"/>
              <a:t>Revenue by business partner</a:t>
            </a:r>
          </a:p>
        </c:rich>
      </c:tx>
      <c:overlay val="0"/>
    </c:title>
    <c:autoTitleDeleted val="0"/>
    <c:plotArea>
      <c:layout/>
      <c:barChart>
        <c:barDir val="col"/>
        <c:grouping val="stacked"/>
        <c:varyColors val="0"/>
        <c:ser>
          <c:idx val="0"/>
          <c:order val="0"/>
          <c:tx>
            <c:v> </c:v>
          </c:tx>
          <c:spPr>
            <a:noFill/>
            <a:ln>
              <a:noFill/>
            </a:ln>
            <a:effectLst/>
            <a:extLst>
              <a:ext uri="{909E8E84-426E-40DD-AFC4-6F175D3DCCD1}">
                <a14:hiddenFill xmlns:a14="http://schemas.microsoft.com/office/drawing/2010/main">
                  <a:solidFill>
                    <a:srgbClr val="156082"/>
                  </a:solidFill>
                </a14:hiddenFill>
              </a:ext>
              <a:ext uri="{91240B29-F687-4F45-9708-019B960494DF}">
                <a14:hiddenLine xmlns:a14="http://schemas.microsoft.com/office/drawing/2010/main">
                  <a:noFill/>
                </a14:hiddenLine>
              </a:ext>
            </a:extLst>
          </c:spPr>
          <c:invertIfNegative val="0"/>
          <c:cat>
            <c:strRef>
              <c:f>Column!$Y$24:$Y$77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Column!$Z$24:$Z$77</c:f>
              <c:numCache>
                <c:formatCode>#,##0.000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numCache>
            </c:numRef>
          </c:val>
          <c:extLst>
            <c:ext xmlns:c16="http://schemas.microsoft.com/office/drawing/2014/chart" uri="{C3380CC4-5D6E-409C-BE32-E72D297353CC}">
              <c16:uniqueId val="{00000001-5840-47D9-A5C9-8901BF53A0BD}"/>
            </c:ext>
          </c:extLst>
        </c:ser>
        <c:ser>
          <c:idx val="1"/>
          <c:order val="1"/>
          <c:tx>
            <c:v>Revenue</c:v>
          </c:tx>
          <c:spPr>
            <a:solidFill>
              <a:srgbClr val="1F4E79"/>
            </a:solidFill>
            <a:ln>
              <a:noFill/>
            </a:ln>
            <a:effectLst/>
            <a:extLst>
              <a:ext uri="{91240B29-F687-4F45-9708-019B960494DF}">
                <a14:hiddenLine xmlns:a14="http://schemas.microsoft.com/office/drawing/2010/main">
                  <a:noFill/>
                </a14:hiddenLine>
              </a:ext>
            </a:extLst>
          </c:spPr>
          <c:invertIfNegative val="0"/>
          <c:cat>
            <c:strRef>
              <c:f>Column!$Y$24:$Y$77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Column!$AA$24:$AA$77</c:f>
              <c:numCache>
                <c:formatCode>General</c:formatCode>
                <c:ptCount val="54"/>
                <c:pt idx="0">
                  <c:v>#N/A</c:v>
                </c:pt>
                <c:pt idx="1">
                  <c:v>#N/A</c:v>
                </c:pt>
                <c:pt idx="2">
                  <c:v>#N/A</c:v>
                </c:pt>
                <c:pt idx="3">
                  <c:v>0.27606666666666663</c:v>
                </c:pt>
                <c:pt idx="4">
                  <c:v>0.31657466666666667</c:v>
                </c:pt>
                <c:pt idx="5">
                  <c:v>0.35708266666666671</c:v>
                </c:pt>
                <c:pt idx="6">
                  <c:v>0.29924533333333331</c:v>
                </c:pt>
                <c:pt idx="7">
                  <c:v>0.3397533333333333</c:v>
                </c:pt>
                <c:pt idx="8">
                  <c:v>0.38026133333333328</c:v>
                </c:pt>
                <c:pt idx="9">
                  <c:v>0.32242399999999999</c:v>
                </c:pt>
                <c:pt idx="10">
                  <c:v>0.36293199999999998</c:v>
                </c:pt>
                <c:pt idx="11">
                  <c:v>0.40343999999999997</c:v>
                </c:pt>
                <c:pt idx="12">
                  <c:v>0.34554799999999997</c:v>
                </c:pt>
                <c:pt idx="13">
                  <c:v>0.38605600000000001</c:v>
                </c:pt>
                <c:pt idx="14">
                  <c:v>0.42661866666666665</c:v>
                </c:pt>
                <c:pt idx="15">
                  <c:v>#N/A</c:v>
                </c:pt>
                <c:pt idx="16">
                  <c:v>0.51933333333333331</c:v>
                </c:pt>
                <c:pt idx="17">
                  <c:v>0.56514399999999987</c:v>
                </c:pt>
                <c:pt idx="18">
                  <c:v>0.51249999999999996</c:v>
                </c:pt>
                <c:pt idx="19">
                  <c:v>0.55825599999999997</c:v>
                </c:pt>
                <c:pt idx="20">
                  <c:v>0.60406666666666664</c:v>
                </c:pt>
                <c:pt idx="21">
                  <c:v>0.55147733333333326</c:v>
                </c:pt>
                <c:pt idx="22">
                  <c:v>0.59723333333333339</c:v>
                </c:pt>
                <c:pt idx="23">
                  <c:v>0.6429893333333333</c:v>
                </c:pt>
                <c:pt idx="24">
                  <c:v>0.59039999999999992</c:v>
                </c:pt>
                <c:pt idx="25">
                  <c:v>0.63621066666666659</c:v>
                </c:pt>
                <c:pt idx="26">
                  <c:v>0.68196666666666661</c:v>
                </c:pt>
                <c:pt idx="27">
                  <c:v>0.6293226666666667</c:v>
                </c:pt>
                <c:pt idx="28">
                  <c:v>#N/A</c:v>
                </c:pt>
                <c:pt idx="29">
                  <c:v>0.43186666666666662</c:v>
                </c:pt>
                <c:pt idx="30">
                  <c:v>0.37621599999999999</c:v>
                </c:pt>
                <c:pt idx="31">
                  <c:v>0.41902</c:v>
                </c:pt>
                <c:pt idx="32">
                  <c:v>0.4618239999999999</c:v>
                </c:pt>
                <c:pt idx="33">
                  <c:v>0.40617333333333333</c:v>
                </c:pt>
                <c:pt idx="34">
                  <c:v>0.44892266666666664</c:v>
                </c:pt>
                <c:pt idx="35">
                  <c:v>0.49172666666666665</c:v>
                </c:pt>
                <c:pt idx="36">
                  <c:v>0.43613066666666661</c:v>
                </c:pt>
                <c:pt idx="37">
                  <c:v>0.47887999999999992</c:v>
                </c:pt>
                <c:pt idx="38">
                  <c:v>0.52168399999999993</c:v>
                </c:pt>
                <c:pt idx="39">
                  <c:v>0.4660333333333333</c:v>
                </c:pt>
                <c:pt idx="40">
                  <c:v>0.50878266666666672</c:v>
                </c:pt>
                <c:pt idx="41">
                  <c:v>#N/A</c:v>
                </c:pt>
                <c:pt idx="42">
                  <c:v>0.24599999999999997</c:v>
                </c:pt>
                <c:pt idx="43">
                  <c:v>0.28579733333333329</c:v>
                </c:pt>
                <c:pt idx="44">
                  <c:v>0.32554</c:v>
                </c:pt>
                <c:pt idx="45">
                  <c:v>0.26688266666666666</c:v>
                </c:pt>
                <c:pt idx="46">
                  <c:v>0.30668000000000001</c:v>
                </c:pt>
                <c:pt idx="47">
                  <c:v>0.3464773333333333</c:v>
                </c:pt>
                <c:pt idx="48">
                  <c:v>0.28781999999999996</c:v>
                </c:pt>
                <c:pt idx="49">
                  <c:v>0.32756266666666667</c:v>
                </c:pt>
                <c:pt idx="50">
                  <c:v>0.36735999999999996</c:v>
                </c:pt>
                <c:pt idx="51">
                  <c:v>0.30875733333333327</c:v>
                </c:pt>
                <c:pt idx="52">
                  <c:v>0.34849999999999998</c:v>
                </c:pt>
                <c:pt idx="53">
                  <c:v>0.38824266666666668</c:v>
                </c:pt>
              </c:numCache>
            </c:numRef>
          </c:val>
          <c:extLst>
            <c:ext xmlns:c16="http://schemas.microsoft.com/office/drawing/2014/chart" uri="{C3380CC4-5D6E-409C-BE32-E72D297353CC}">
              <c16:uniqueId val="{00000002-5840-47D9-A5C9-8901BF53A0BD}"/>
            </c:ext>
          </c:extLst>
        </c:ser>
        <c:ser>
          <c:idx val="2"/>
          <c:order val="2"/>
          <c:tx>
            <c:v> </c:v>
          </c:tx>
          <c:spPr>
            <a:noFill/>
            <a:ln>
              <a:noFill/>
            </a:ln>
            <a:effectLst/>
            <a:extLst>
              <a:ext uri="{909E8E84-426E-40DD-AFC4-6F175D3DCCD1}">
                <a14:hiddenFill xmlns:a14="http://schemas.microsoft.com/office/drawing/2010/main">
                  <a:solidFill>
                    <a:srgbClr val="196B24"/>
                  </a:solidFill>
                </a14:hiddenFill>
              </a:ext>
              <a:ext uri="{91240B29-F687-4F45-9708-019B960494DF}">
                <a14:hiddenLine xmlns:a14="http://schemas.microsoft.com/office/drawing/2010/main">
                  <a:noFill/>
                </a14:hiddenLine>
              </a:ext>
            </a:extLst>
          </c:spPr>
          <c:invertIfNegative val="0"/>
          <c:cat>
            <c:strRef>
              <c:f>Column!$Y$24:$Y$77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Column!$AB$24:$AB$77</c:f>
              <c:numCache>
                <c:formatCode>#,##0.000</c:formatCode>
                <c:ptCount val="54"/>
                <c:pt idx="0">
                  <c:v>1</c:v>
                </c:pt>
                <c:pt idx="1">
                  <c:v>1</c:v>
                </c:pt>
                <c:pt idx="2">
                  <c:v>1</c:v>
                </c:pt>
                <c:pt idx="3">
                  <c:v>0.72393333333333332</c:v>
                </c:pt>
                <c:pt idx="4">
                  <c:v>0.68342533333333333</c:v>
                </c:pt>
                <c:pt idx="5">
                  <c:v>0.64291733333333334</c:v>
                </c:pt>
                <c:pt idx="6">
                  <c:v>0.70075466666666664</c:v>
                </c:pt>
                <c:pt idx="7">
                  <c:v>0.66024666666666665</c:v>
                </c:pt>
                <c:pt idx="8">
                  <c:v>0.61973866666666666</c:v>
                </c:pt>
                <c:pt idx="9">
                  <c:v>0.67757599999999996</c:v>
                </c:pt>
                <c:pt idx="10">
                  <c:v>0.63706799999999997</c:v>
                </c:pt>
                <c:pt idx="11">
                  <c:v>0.59655999999999998</c:v>
                </c:pt>
                <c:pt idx="12">
                  <c:v>0.65445200000000003</c:v>
                </c:pt>
                <c:pt idx="13">
                  <c:v>0.61394400000000005</c:v>
                </c:pt>
                <c:pt idx="14">
                  <c:v>0.5733813333333333</c:v>
                </c:pt>
                <c:pt idx="15">
                  <c:v>1</c:v>
                </c:pt>
                <c:pt idx="16">
                  <c:v>0.48066666666666669</c:v>
                </c:pt>
                <c:pt idx="17">
                  <c:v>0.43485600000000013</c:v>
                </c:pt>
                <c:pt idx="18">
                  <c:v>0.48750000000000004</c:v>
                </c:pt>
                <c:pt idx="19">
                  <c:v>0.44174400000000003</c:v>
                </c:pt>
                <c:pt idx="20">
                  <c:v>0.39593333333333336</c:v>
                </c:pt>
                <c:pt idx="21">
                  <c:v>0.44852266666666674</c:v>
                </c:pt>
                <c:pt idx="22">
                  <c:v>0.40276666666666661</c:v>
                </c:pt>
                <c:pt idx="23">
                  <c:v>0.3570106666666667</c:v>
                </c:pt>
                <c:pt idx="24">
                  <c:v>0.40960000000000008</c:v>
                </c:pt>
                <c:pt idx="25">
                  <c:v>0.36378933333333341</c:v>
                </c:pt>
                <c:pt idx="26">
                  <c:v>0.31803333333333339</c:v>
                </c:pt>
                <c:pt idx="27">
                  <c:v>0.3706773333333333</c:v>
                </c:pt>
                <c:pt idx="28">
                  <c:v>1</c:v>
                </c:pt>
                <c:pt idx="29">
                  <c:v>0.56813333333333338</c:v>
                </c:pt>
                <c:pt idx="30">
                  <c:v>0.62378400000000001</c:v>
                </c:pt>
                <c:pt idx="31">
                  <c:v>0.58098000000000005</c:v>
                </c:pt>
                <c:pt idx="32">
                  <c:v>0.5381760000000001</c:v>
                </c:pt>
                <c:pt idx="33">
                  <c:v>0.59382666666666672</c:v>
                </c:pt>
                <c:pt idx="34">
                  <c:v>0.55107733333333342</c:v>
                </c:pt>
                <c:pt idx="35">
                  <c:v>0.50827333333333335</c:v>
                </c:pt>
                <c:pt idx="36">
                  <c:v>0.56386933333333333</c:v>
                </c:pt>
                <c:pt idx="37">
                  <c:v>0.52112000000000003</c:v>
                </c:pt>
                <c:pt idx="38">
                  <c:v>0.47831600000000007</c:v>
                </c:pt>
                <c:pt idx="39">
                  <c:v>0.5339666666666667</c:v>
                </c:pt>
                <c:pt idx="40">
                  <c:v>0.49121733333333328</c:v>
                </c:pt>
                <c:pt idx="41">
                  <c:v>1</c:v>
                </c:pt>
                <c:pt idx="42">
                  <c:v>0.754</c:v>
                </c:pt>
                <c:pt idx="43">
                  <c:v>0.71420266666666676</c:v>
                </c:pt>
                <c:pt idx="44">
                  <c:v>0.67446000000000006</c:v>
                </c:pt>
                <c:pt idx="45">
                  <c:v>0.7331173333333334</c:v>
                </c:pt>
                <c:pt idx="46">
                  <c:v>0.69331999999999994</c:v>
                </c:pt>
                <c:pt idx="47">
                  <c:v>0.6535226666666667</c:v>
                </c:pt>
                <c:pt idx="48">
                  <c:v>0.71218000000000004</c:v>
                </c:pt>
                <c:pt idx="49">
                  <c:v>0.67243733333333333</c:v>
                </c:pt>
                <c:pt idx="50">
                  <c:v>0.63264000000000009</c:v>
                </c:pt>
                <c:pt idx="51">
                  <c:v>0.69124266666666667</c:v>
                </c:pt>
                <c:pt idx="52">
                  <c:v>0.65149999999999997</c:v>
                </c:pt>
                <c:pt idx="53">
                  <c:v>0.61175733333333326</c:v>
                </c:pt>
              </c:numCache>
            </c:numRef>
          </c:val>
          <c:extLst>
            <c:ext xmlns:c16="http://schemas.microsoft.com/office/drawing/2014/chart" uri="{C3380CC4-5D6E-409C-BE32-E72D297353CC}">
              <c16:uniqueId val="{00000003-5840-47D9-A5C9-8901BF53A0BD}"/>
            </c:ext>
          </c:extLst>
        </c:ser>
        <c:ser>
          <c:idx val="3"/>
          <c:order val="3"/>
          <c:tx>
            <c:v>Revenue</c:v>
          </c:tx>
          <c:spPr>
            <a:solidFill>
              <a:srgbClr val="1F4E79"/>
            </a:solidFill>
            <a:ln>
              <a:noFill/>
            </a:ln>
            <a:effectLst/>
            <a:extLst>
              <a:ext uri="{91240B29-F687-4F45-9708-019B960494DF}">
                <a14:hiddenLine xmlns:a14="http://schemas.microsoft.com/office/drawing/2010/main">
                  <a:noFill/>
                </a14:hiddenLine>
              </a:ext>
            </a:extLst>
          </c:spPr>
          <c:invertIfNegative val="0"/>
          <c:cat>
            <c:strRef>
              <c:f>Column!$Y$24:$Y$77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Column!$AC$24:$AC$77</c:f>
              <c:numCache>
                <c:formatCode>General</c:formatCode>
                <c:ptCount val="54"/>
                <c:pt idx="0">
                  <c:v>#N/A</c:v>
                </c:pt>
                <c:pt idx="1">
                  <c:v>#N/A</c:v>
                </c:pt>
                <c:pt idx="2">
                  <c:v>#N/A</c:v>
                </c:pt>
                <c:pt idx="3">
                  <c:v>0.49199999999999994</c:v>
                </c:pt>
                <c:pt idx="4">
                  <c:v>0.43787999999999999</c:v>
                </c:pt>
                <c:pt idx="5">
                  <c:v>0.48215999999999992</c:v>
                </c:pt>
                <c:pt idx="6">
                  <c:v>0.52644000000000002</c:v>
                </c:pt>
                <c:pt idx="7">
                  <c:v>0.47231999999999996</c:v>
                </c:pt>
                <c:pt idx="8">
                  <c:v>0.51659999999999995</c:v>
                </c:pt>
                <c:pt idx="9">
                  <c:v>0.56088000000000005</c:v>
                </c:pt>
                <c:pt idx="10">
                  <c:v>0.50675999999999999</c:v>
                </c:pt>
                <c:pt idx="11">
                  <c:v>0.55103999999999997</c:v>
                </c:pt>
                <c:pt idx="12">
                  <c:v>0.59531999999999996</c:v>
                </c:pt>
                <c:pt idx="13">
                  <c:v>0.54120000000000001</c:v>
                </c:pt>
                <c:pt idx="14">
                  <c:v>0.58547999999999989</c:v>
                </c:pt>
                <c:pt idx="15">
                  <c:v>#N/A</c:v>
                </c:pt>
                <c:pt idx="16">
                  <c:v>0.30613333333333331</c:v>
                </c:pt>
                <c:pt idx="17">
                  <c:v>0.34740666666666664</c:v>
                </c:pt>
                <c:pt idx="18">
                  <c:v>0.38867999999999997</c:v>
                </c:pt>
                <c:pt idx="19">
                  <c:v>0.33155333333333331</c:v>
                </c:pt>
                <c:pt idx="20">
                  <c:v>0.37282666666666664</c:v>
                </c:pt>
                <c:pt idx="21">
                  <c:v>0.41409999999999997</c:v>
                </c:pt>
                <c:pt idx="22">
                  <c:v>0.35697333333333331</c:v>
                </c:pt>
                <c:pt idx="23">
                  <c:v>0.39824666666666664</c:v>
                </c:pt>
                <c:pt idx="24">
                  <c:v>0.43952000000000002</c:v>
                </c:pt>
                <c:pt idx="25">
                  <c:v>0.38239333333333331</c:v>
                </c:pt>
                <c:pt idx="26">
                  <c:v>0.42366666666666669</c:v>
                </c:pt>
                <c:pt idx="27">
                  <c:v>0.46493999999999991</c:v>
                </c:pt>
                <c:pt idx="28">
                  <c:v>#N/A</c:v>
                </c:pt>
                <c:pt idx="29">
                  <c:v>0.21866666666666665</c:v>
                </c:pt>
                <c:pt idx="30">
                  <c:v>0.25693333333333335</c:v>
                </c:pt>
                <c:pt idx="31">
                  <c:v>0.19679999999999997</c:v>
                </c:pt>
                <c:pt idx="32">
                  <c:v>0.23506666666666667</c:v>
                </c:pt>
                <c:pt idx="33">
                  <c:v>0.27333333333333332</c:v>
                </c:pt>
                <c:pt idx="34">
                  <c:v>0.2132</c:v>
                </c:pt>
                <c:pt idx="35">
                  <c:v>0.25146666666666662</c:v>
                </c:pt>
                <c:pt idx="36">
                  <c:v>0.28973333333333334</c:v>
                </c:pt>
                <c:pt idx="37">
                  <c:v>0.2296</c:v>
                </c:pt>
                <c:pt idx="38">
                  <c:v>0.26786666666666664</c:v>
                </c:pt>
                <c:pt idx="39">
                  <c:v>0.30613333333333331</c:v>
                </c:pt>
                <c:pt idx="40">
                  <c:v>0.24599999999999997</c:v>
                </c:pt>
                <c:pt idx="41">
                  <c:v>#N/A</c:v>
                </c:pt>
                <c:pt idx="42">
                  <c:v>0.46193333333333331</c:v>
                </c:pt>
                <c:pt idx="43">
                  <c:v>0.40704799999999997</c:v>
                </c:pt>
                <c:pt idx="44">
                  <c:v>0.45056266666666661</c:v>
                </c:pt>
                <c:pt idx="45">
                  <c:v>0.49413200000000002</c:v>
                </c:pt>
                <c:pt idx="46">
                  <c:v>0.43924666666666662</c:v>
                </c:pt>
                <c:pt idx="47">
                  <c:v>0.48276133333333332</c:v>
                </c:pt>
                <c:pt idx="48">
                  <c:v>0.52627599999999997</c:v>
                </c:pt>
                <c:pt idx="49">
                  <c:v>0.47144533333333327</c:v>
                </c:pt>
                <c:pt idx="50">
                  <c:v>0.51495999999999997</c:v>
                </c:pt>
                <c:pt idx="51">
                  <c:v>0.55847466666666667</c:v>
                </c:pt>
                <c:pt idx="52">
                  <c:v>0.50358933333333333</c:v>
                </c:pt>
                <c:pt idx="53">
                  <c:v>0.54715866666666668</c:v>
                </c:pt>
              </c:numCache>
            </c:numRef>
          </c:val>
          <c:extLst>
            <c:ext xmlns:c16="http://schemas.microsoft.com/office/drawing/2014/chart" uri="{C3380CC4-5D6E-409C-BE32-E72D297353CC}">
              <c16:uniqueId val="{00000004-5840-47D9-A5C9-8901BF53A0BD}"/>
            </c:ext>
          </c:extLst>
        </c:ser>
        <c:ser>
          <c:idx val="4"/>
          <c:order val="4"/>
          <c:tx>
            <c:v> </c:v>
          </c:tx>
          <c:spPr>
            <a:noFill/>
            <a:ln>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a:noFill/>
                </a14:hiddenLine>
              </a:ext>
            </a:extLst>
          </c:spPr>
          <c:invertIfNegative val="0"/>
          <c:cat>
            <c:strRef>
              <c:f>Column!$Y$24:$Y$77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Column!$AD$24:$AD$77</c:f>
              <c:numCache>
                <c:formatCode>#,##0.000</c:formatCode>
                <c:ptCount val="54"/>
                <c:pt idx="0">
                  <c:v>1</c:v>
                </c:pt>
                <c:pt idx="1">
                  <c:v>1</c:v>
                </c:pt>
                <c:pt idx="2">
                  <c:v>1</c:v>
                </c:pt>
                <c:pt idx="3">
                  <c:v>0.50800000000000001</c:v>
                </c:pt>
                <c:pt idx="4">
                  <c:v>0.56211999999999995</c:v>
                </c:pt>
                <c:pt idx="5">
                  <c:v>0.51784000000000008</c:v>
                </c:pt>
                <c:pt idx="6">
                  <c:v>0.47355999999999998</c:v>
                </c:pt>
                <c:pt idx="7">
                  <c:v>0.52768000000000015</c:v>
                </c:pt>
                <c:pt idx="8">
                  <c:v>0.48340000000000005</c:v>
                </c:pt>
                <c:pt idx="9">
                  <c:v>0.43911999999999995</c:v>
                </c:pt>
                <c:pt idx="10">
                  <c:v>0.49324000000000012</c:v>
                </c:pt>
                <c:pt idx="11">
                  <c:v>0.44896000000000003</c:v>
                </c:pt>
                <c:pt idx="12">
                  <c:v>0.40467999999999993</c:v>
                </c:pt>
                <c:pt idx="13">
                  <c:v>0.4588000000000001</c:v>
                </c:pt>
                <c:pt idx="14">
                  <c:v>0.41452</c:v>
                </c:pt>
                <c:pt idx="15">
                  <c:v>1</c:v>
                </c:pt>
                <c:pt idx="16">
                  <c:v>0.69386666666666663</c:v>
                </c:pt>
                <c:pt idx="17">
                  <c:v>0.65259333333333336</c:v>
                </c:pt>
                <c:pt idx="18">
                  <c:v>0.61132000000000009</c:v>
                </c:pt>
                <c:pt idx="19">
                  <c:v>0.66844666666666663</c:v>
                </c:pt>
                <c:pt idx="20">
                  <c:v>0.62717333333333336</c:v>
                </c:pt>
                <c:pt idx="21">
                  <c:v>0.58590000000000009</c:v>
                </c:pt>
                <c:pt idx="22">
                  <c:v>0.64302666666666664</c:v>
                </c:pt>
                <c:pt idx="23">
                  <c:v>0.60175333333333336</c:v>
                </c:pt>
                <c:pt idx="24">
                  <c:v>0.56048000000000009</c:v>
                </c:pt>
                <c:pt idx="25">
                  <c:v>0.61760666666666664</c:v>
                </c:pt>
                <c:pt idx="26">
                  <c:v>0.57633333333333336</c:v>
                </c:pt>
                <c:pt idx="27">
                  <c:v>0.53506000000000009</c:v>
                </c:pt>
                <c:pt idx="28">
                  <c:v>1</c:v>
                </c:pt>
                <c:pt idx="29">
                  <c:v>0.78133333333333344</c:v>
                </c:pt>
                <c:pt idx="30">
                  <c:v>0.74306666666666654</c:v>
                </c:pt>
                <c:pt idx="31">
                  <c:v>0.80319999999999991</c:v>
                </c:pt>
                <c:pt idx="32">
                  <c:v>0.76493333333333324</c:v>
                </c:pt>
                <c:pt idx="33">
                  <c:v>0.72666666666666657</c:v>
                </c:pt>
                <c:pt idx="34">
                  <c:v>0.78679999999999994</c:v>
                </c:pt>
                <c:pt idx="35">
                  <c:v>0.74853333333333349</c:v>
                </c:pt>
                <c:pt idx="36">
                  <c:v>0.7102666666666666</c:v>
                </c:pt>
                <c:pt idx="37">
                  <c:v>0.77039999999999997</c:v>
                </c:pt>
                <c:pt idx="38">
                  <c:v>0.7321333333333333</c:v>
                </c:pt>
                <c:pt idx="39">
                  <c:v>0.69386666666666663</c:v>
                </c:pt>
                <c:pt idx="40">
                  <c:v>0.754</c:v>
                </c:pt>
                <c:pt idx="41">
                  <c:v>1</c:v>
                </c:pt>
                <c:pt idx="42">
                  <c:v>0.53806666666666669</c:v>
                </c:pt>
                <c:pt idx="43">
                  <c:v>0.59295199999999992</c:v>
                </c:pt>
                <c:pt idx="44">
                  <c:v>0.54943733333333333</c:v>
                </c:pt>
                <c:pt idx="45">
                  <c:v>0.50586799999999998</c:v>
                </c:pt>
                <c:pt idx="46">
                  <c:v>0.56075333333333344</c:v>
                </c:pt>
                <c:pt idx="47">
                  <c:v>0.51723866666666662</c:v>
                </c:pt>
                <c:pt idx="48">
                  <c:v>0.47372400000000003</c:v>
                </c:pt>
                <c:pt idx="49">
                  <c:v>0.52855466666666673</c:v>
                </c:pt>
                <c:pt idx="50">
                  <c:v>0.48504000000000014</c:v>
                </c:pt>
                <c:pt idx="51">
                  <c:v>0.44152533333333333</c:v>
                </c:pt>
                <c:pt idx="52">
                  <c:v>0.49641066666666678</c:v>
                </c:pt>
                <c:pt idx="53">
                  <c:v>0.45284133333333321</c:v>
                </c:pt>
              </c:numCache>
            </c:numRef>
          </c:val>
          <c:extLst>
            <c:ext xmlns:c16="http://schemas.microsoft.com/office/drawing/2014/chart" uri="{C3380CC4-5D6E-409C-BE32-E72D297353CC}">
              <c16:uniqueId val="{00000005-5840-47D9-A5C9-8901BF53A0BD}"/>
            </c:ext>
          </c:extLst>
        </c:ser>
        <c:ser>
          <c:idx val="5"/>
          <c:order val="5"/>
          <c:tx>
            <c:v>Revenue</c:v>
          </c:tx>
          <c:spPr>
            <a:solidFill>
              <a:srgbClr val="1F4E79"/>
            </a:solidFill>
            <a:ln>
              <a:noFill/>
            </a:ln>
            <a:effectLst/>
            <a:extLst>
              <a:ext uri="{91240B29-F687-4F45-9708-019B960494DF}">
                <a14:hiddenLine xmlns:a14="http://schemas.microsoft.com/office/drawing/2010/main">
                  <a:noFill/>
                </a14:hiddenLine>
              </a:ext>
            </a:extLst>
          </c:spPr>
          <c:invertIfNegative val="0"/>
          <c:cat>
            <c:strRef>
              <c:f>Column!$Y$24:$Y$77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Column!$AE$24:$AE$77</c:f>
              <c:numCache>
                <c:formatCode>General</c:formatCode>
                <c:ptCount val="54"/>
                <c:pt idx="0">
                  <c:v>#N/A</c:v>
                </c:pt>
                <c:pt idx="1">
                  <c:v>#N/A</c:v>
                </c:pt>
                <c:pt idx="2">
                  <c:v>#N/A</c:v>
                </c:pt>
                <c:pt idx="3">
                  <c:v>0.27879999999999999</c:v>
                </c:pt>
                <c:pt idx="4">
                  <c:v>0.31859733333333329</c:v>
                </c:pt>
                <c:pt idx="5">
                  <c:v>0.25994</c:v>
                </c:pt>
                <c:pt idx="6">
                  <c:v>0.29968266666666671</c:v>
                </c:pt>
                <c:pt idx="7">
                  <c:v>0.33947999999999995</c:v>
                </c:pt>
                <c:pt idx="8">
                  <c:v>0.28087733333333331</c:v>
                </c:pt>
                <c:pt idx="9">
                  <c:v>0.32062000000000002</c:v>
                </c:pt>
                <c:pt idx="10">
                  <c:v>0.36036266666666666</c:v>
                </c:pt>
                <c:pt idx="11">
                  <c:v>0.30175999999999997</c:v>
                </c:pt>
                <c:pt idx="12">
                  <c:v>0.34155733333333327</c:v>
                </c:pt>
                <c:pt idx="13">
                  <c:v>0.38129999999999997</c:v>
                </c:pt>
                <c:pt idx="14">
                  <c:v>0.32264266666666669</c:v>
                </c:pt>
                <c:pt idx="15">
                  <c:v>#N/A</c:v>
                </c:pt>
                <c:pt idx="16">
                  <c:v>0.52206666666666668</c:v>
                </c:pt>
                <c:pt idx="17">
                  <c:v>0.46871199999999996</c:v>
                </c:pt>
                <c:pt idx="18">
                  <c:v>0.51375733333333329</c:v>
                </c:pt>
                <c:pt idx="19">
                  <c:v>0.55874800000000002</c:v>
                </c:pt>
                <c:pt idx="20">
                  <c:v>0.50539333333333325</c:v>
                </c:pt>
                <c:pt idx="21">
                  <c:v>0.55043866666666663</c:v>
                </c:pt>
                <c:pt idx="22">
                  <c:v>0.59542933333333337</c:v>
                </c:pt>
                <c:pt idx="23">
                  <c:v>0.5420746666666667</c:v>
                </c:pt>
                <c:pt idx="24">
                  <c:v>0.58711999999999998</c:v>
                </c:pt>
                <c:pt idx="25">
                  <c:v>0.63216533333333336</c:v>
                </c:pt>
                <c:pt idx="26">
                  <c:v>0.57881066666666658</c:v>
                </c:pt>
                <c:pt idx="27">
                  <c:v>0.62380133333333321</c:v>
                </c:pt>
                <c:pt idx="28">
                  <c:v>#N/A</c:v>
                </c:pt>
                <c:pt idx="29">
                  <c:v>0.33619999999999994</c:v>
                </c:pt>
                <c:pt idx="30">
                  <c:v>0.37823866666666661</c:v>
                </c:pt>
                <c:pt idx="31">
                  <c:v>0.42027733333333328</c:v>
                </c:pt>
                <c:pt idx="32">
                  <c:v>0.36386133333333331</c:v>
                </c:pt>
                <c:pt idx="33">
                  <c:v>0.40589999999999998</c:v>
                </c:pt>
                <c:pt idx="34">
                  <c:v>0.44793866666666665</c:v>
                </c:pt>
                <c:pt idx="35">
                  <c:v>0.39152266666666669</c:v>
                </c:pt>
                <c:pt idx="36">
                  <c:v>0.43356133333333335</c:v>
                </c:pt>
                <c:pt idx="37">
                  <c:v>0.47559999999999991</c:v>
                </c:pt>
                <c:pt idx="38">
                  <c:v>0.41923866666666665</c:v>
                </c:pt>
                <c:pt idx="39">
                  <c:v>0.46127733333333332</c:v>
                </c:pt>
                <c:pt idx="40">
                  <c:v>0.50326133333333334</c:v>
                </c:pt>
                <c:pt idx="41">
                  <c:v>#N/A</c:v>
                </c:pt>
                <c:pt idx="42">
                  <c:v>0.24873333333333333</c:v>
                </c:pt>
                <c:pt idx="43">
                  <c:v>0.28776533333333332</c:v>
                </c:pt>
                <c:pt idx="44">
                  <c:v>0.22839733333333334</c:v>
                </c:pt>
                <c:pt idx="45">
                  <c:v>0.26737466666666665</c:v>
                </c:pt>
                <c:pt idx="46">
                  <c:v>0.30640666666666661</c:v>
                </c:pt>
                <c:pt idx="47">
                  <c:v>0.24703866666666663</c:v>
                </c:pt>
                <c:pt idx="48">
                  <c:v>0.28601600000000005</c:v>
                </c:pt>
                <c:pt idx="49">
                  <c:v>0.325048</c:v>
                </c:pt>
                <c:pt idx="50">
                  <c:v>0.26567999999999997</c:v>
                </c:pt>
                <c:pt idx="51">
                  <c:v>0.30471199999999998</c:v>
                </c:pt>
                <c:pt idx="52">
                  <c:v>0.34374399999999994</c:v>
                </c:pt>
                <c:pt idx="53">
                  <c:v>0.28432133333333331</c:v>
                </c:pt>
              </c:numCache>
            </c:numRef>
          </c:val>
          <c:extLst>
            <c:ext xmlns:c16="http://schemas.microsoft.com/office/drawing/2014/chart" uri="{C3380CC4-5D6E-409C-BE32-E72D297353CC}">
              <c16:uniqueId val="{00000006-5840-47D9-A5C9-8901BF53A0BD}"/>
            </c:ext>
          </c:extLst>
        </c:ser>
        <c:ser>
          <c:idx val="6"/>
          <c:order val="6"/>
          <c:tx>
            <c:v> </c:v>
          </c:tx>
          <c:spPr>
            <a:noFill/>
            <a:ln>
              <a:noFill/>
            </a:ln>
            <a:effectLst/>
            <a:extLst>
              <a:ext uri="{909E8E84-426E-40DD-AFC4-6F175D3DCCD1}">
                <a14:hiddenFill xmlns:a14="http://schemas.microsoft.com/office/drawing/2010/main">
                  <a:solidFill>
                    <a:srgbClr val="156082">
                      <a:tint val="77000"/>
                    </a:srgbClr>
                  </a:solidFill>
                </a14:hiddenFill>
              </a:ext>
              <a:ext uri="{91240B29-F687-4F45-9708-019B960494DF}">
                <a14:hiddenLine xmlns:a14="http://schemas.microsoft.com/office/drawing/2010/main">
                  <a:noFill/>
                </a14:hiddenLine>
              </a:ext>
            </a:extLst>
          </c:spPr>
          <c:invertIfNegative val="0"/>
          <c:cat>
            <c:strRef>
              <c:f>Column!$Y$24:$Y$77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Column!$AF$24:$AF$77</c:f>
              <c:numCache>
                <c:formatCode>#,##0.000</c:formatCode>
                <c:ptCount val="54"/>
                <c:pt idx="0">
                  <c:v>1</c:v>
                </c:pt>
                <c:pt idx="1">
                  <c:v>1</c:v>
                </c:pt>
                <c:pt idx="2">
                  <c:v>1</c:v>
                </c:pt>
                <c:pt idx="3">
                  <c:v>0.72120000000000006</c:v>
                </c:pt>
                <c:pt idx="4">
                  <c:v>0.6814026666666666</c:v>
                </c:pt>
                <c:pt idx="5">
                  <c:v>0.74006000000000016</c:v>
                </c:pt>
                <c:pt idx="6">
                  <c:v>0.70031733333333346</c:v>
                </c:pt>
                <c:pt idx="7">
                  <c:v>0.66052</c:v>
                </c:pt>
                <c:pt idx="8">
                  <c:v>0.7191226666666668</c:v>
                </c:pt>
                <c:pt idx="9">
                  <c:v>0.67938000000000009</c:v>
                </c:pt>
                <c:pt idx="10">
                  <c:v>0.63963733333333339</c:v>
                </c:pt>
                <c:pt idx="11">
                  <c:v>0.69824000000000019</c:v>
                </c:pt>
                <c:pt idx="12">
                  <c:v>0.65844266666666673</c:v>
                </c:pt>
                <c:pt idx="13">
                  <c:v>0.61870000000000003</c:v>
                </c:pt>
                <c:pt idx="14">
                  <c:v>0.67735733333333314</c:v>
                </c:pt>
                <c:pt idx="15">
                  <c:v>1</c:v>
                </c:pt>
                <c:pt idx="16">
                  <c:v>0.47793333333333354</c:v>
                </c:pt>
                <c:pt idx="17">
                  <c:v>0.53128799999999998</c:v>
                </c:pt>
                <c:pt idx="18">
                  <c:v>0.4862426666666666</c:v>
                </c:pt>
                <c:pt idx="19">
                  <c:v>0.44125199999999998</c:v>
                </c:pt>
                <c:pt idx="20">
                  <c:v>0.49460666666666686</c:v>
                </c:pt>
                <c:pt idx="21">
                  <c:v>0.44956133333333348</c:v>
                </c:pt>
                <c:pt idx="22">
                  <c:v>0.40457066666666641</c:v>
                </c:pt>
                <c:pt idx="23">
                  <c:v>0.4579253333333333</c:v>
                </c:pt>
                <c:pt idx="24">
                  <c:v>0.41287999999999991</c:v>
                </c:pt>
                <c:pt idx="25">
                  <c:v>0.36783466666666653</c:v>
                </c:pt>
                <c:pt idx="26">
                  <c:v>0.42118933333333342</c:v>
                </c:pt>
                <c:pt idx="27">
                  <c:v>0.37619866666666679</c:v>
                </c:pt>
                <c:pt idx="28">
                  <c:v>1</c:v>
                </c:pt>
                <c:pt idx="29">
                  <c:v>0.66380000000000017</c:v>
                </c:pt>
                <c:pt idx="30">
                  <c:v>0.62176133333333361</c:v>
                </c:pt>
                <c:pt idx="31">
                  <c:v>0.57972266666666661</c:v>
                </c:pt>
                <c:pt idx="32">
                  <c:v>0.63613866666666663</c:v>
                </c:pt>
                <c:pt idx="33">
                  <c:v>0.59410000000000007</c:v>
                </c:pt>
                <c:pt idx="34">
                  <c:v>0.55206133333333351</c:v>
                </c:pt>
                <c:pt idx="35">
                  <c:v>0.60847733333333309</c:v>
                </c:pt>
                <c:pt idx="36">
                  <c:v>0.56643866666666653</c:v>
                </c:pt>
                <c:pt idx="37">
                  <c:v>0.52439999999999998</c:v>
                </c:pt>
                <c:pt idx="38">
                  <c:v>0.58076133333333324</c:v>
                </c:pt>
                <c:pt idx="39">
                  <c:v>0.53872266666666668</c:v>
                </c:pt>
                <c:pt idx="40">
                  <c:v>0.49673866666666644</c:v>
                </c:pt>
                <c:pt idx="41">
                  <c:v>1</c:v>
                </c:pt>
                <c:pt idx="42">
                  <c:v>0.75126666666666653</c:v>
                </c:pt>
                <c:pt idx="43">
                  <c:v>0.71223466666666679</c:v>
                </c:pt>
                <c:pt idx="44">
                  <c:v>0.77160266666666644</c:v>
                </c:pt>
                <c:pt idx="45">
                  <c:v>0.73262533333333346</c:v>
                </c:pt>
                <c:pt idx="46">
                  <c:v>0.69359333333333328</c:v>
                </c:pt>
                <c:pt idx="47">
                  <c:v>0.75296133333333337</c:v>
                </c:pt>
                <c:pt idx="48">
                  <c:v>0.71398399999999995</c:v>
                </c:pt>
                <c:pt idx="49">
                  <c:v>0.67495200000000022</c:v>
                </c:pt>
                <c:pt idx="50">
                  <c:v>0.73431999999999986</c:v>
                </c:pt>
                <c:pt idx="51">
                  <c:v>0.69528800000000013</c:v>
                </c:pt>
                <c:pt idx="52">
                  <c:v>0.65625599999999995</c:v>
                </c:pt>
                <c:pt idx="53">
                  <c:v>0.7156786666666668</c:v>
                </c:pt>
              </c:numCache>
            </c:numRef>
          </c:val>
          <c:extLst>
            <c:ext xmlns:c16="http://schemas.microsoft.com/office/drawing/2014/chart" uri="{C3380CC4-5D6E-409C-BE32-E72D297353CC}">
              <c16:uniqueId val="{00000007-5840-47D9-A5C9-8901BF53A0BD}"/>
            </c:ext>
          </c:extLst>
        </c:ser>
        <c:ser>
          <c:idx val="7"/>
          <c:order val="7"/>
          <c:tx>
            <c:v>Revenue</c:v>
          </c:tx>
          <c:spPr>
            <a:solidFill>
              <a:srgbClr val="1F4E79"/>
            </a:solidFill>
            <a:ln>
              <a:noFill/>
            </a:ln>
            <a:effectLst/>
            <a:extLst>
              <a:ext uri="{91240B29-F687-4F45-9708-019B960494DF}">
                <a14:hiddenLine xmlns:a14="http://schemas.microsoft.com/office/drawing/2010/main">
                  <a:noFill/>
                </a14:hiddenLine>
              </a:ext>
            </a:extLst>
          </c:spPr>
          <c:invertIfNegative val="0"/>
          <c:cat>
            <c:strRef>
              <c:f>Column!$Y$24:$Y$77</c:f>
              <c:strCache>
                <c:ptCount val="52"/>
                <c:pt idx="3">
                  <c:v>Jan</c:v>
                </c:pt>
                <c:pt idx="6">
                  <c:v>Apr</c:v>
                </c:pt>
                <c:pt idx="9">
                  <c:v>Jul</c:v>
                </c:pt>
                <c:pt idx="12">
                  <c:v>Oct</c:v>
                </c:pt>
                <c:pt idx="16">
                  <c:v>Jan</c:v>
                </c:pt>
                <c:pt idx="19">
                  <c:v>Apr</c:v>
                </c:pt>
                <c:pt idx="22">
                  <c:v>Jul</c:v>
                </c:pt>
                <c:pt idx="25">
                  <c:v>Oct</c:v>
                </c:pt>
                <c:pt idx="29">
                  <c:v>Jan</c:v>
                </c:pt>
                <c:pt idx="32">
                  <c:v>Apr</c:v>
                </c:pt>
                <c:pt idx="35">
                  <c:v>Jul</c:v>
                </c:pt>
                <c:pt idx="38">
                  <c:v>Oct</c:v>
                </c:pt>
                <c:pt idx="42">
                  <c:v>Jan</c:v>
                </c:pt>
                <c:pt idx="45">
                  <c:v>Apr</c:v>
                </c:pt>
                <c:pt idx="48">
                  <c:v>Jul</c:v>
                </c:pt>
                <c:pt idx="51">
                  <c:v>Oct</c:v>
                </c:pt>
              </c:strCache>
            </c:strRef>
          </c:cat>
          <c:val>
            <c:numRef>
              <c:f>Column!$AG$24:$AG$77</c:f>
              <c:numCache>
                <c:formatCode>General</c:formatCode>
                <c:ptCount val="54"/>
                <c:pt idx="0">
                  <c:v>#N/A</c:v>
                </c:pt>
                <c:pt idx="1">
                  <c:v>#N/A</c:v>
                </c:pt>
                <c:pt idx="2">
                  <c:v>#N/A</c:v>
                </c:pt>
                <c:pt idx="3">
                  <c:v>0.39633333333333332</c:v>
                </c:pt>
                <c:pt idx="4">
                  <c:v>0.43984799999999996</c:v>
                </c:pt>
                <c:pt idx="5">
                  <c:v>0.48336266666666666</c:v>
                </c:pt>
                <c:pt idx="6">
                  <c:v>0.42853199999999991</c:v>
                </c:pt>
                <c:pt idx="7">
                  <c:v>0.47204666666666661</c:v>
                </c:pt>
                <c:pt idx="8">
                  <c:v>0.51556133333333332</c:v>
                </c:pt>
                <c:pt idx="9">
                  <c:v>0.46067600000000003</c:v>
                </c:pt>
                <c:pt idx="10">
                  <c:v>0.50424533333333332</c:v>
                </c:pt>
                <c:pt idx="11">
                  <c:v>0.54776000000000002</c:v>
                </c:pt>
                <c:pt idx="12">
                  <c:v>0.49287466666666663</c:v>
                </c:pt>
                <c:pt idx="13">
                  <c:v>0.53638933333333327</c:v>
                </c:pt>
                <c:pt idx="14">
                  <c:v>0.57995866666666662</c:v>
                </c:pt>
                <c:pt idx="15">
                  <c:v>#N/A</c:v>
                </c:pt>
                <c:pt idx="16">
                  <c:v>0.30886666666666662</c:v>
                </c:pt>
                <c:pt idx="17">
                  <c:v>0.34937466666666667</c:v>
                </c:pt>
                <c:pt idx="18">
                  <c:v>0.29148266666666667</c:v>
                </c:pt>
                <c:pt idx="19">
                  <c:v>0.3320453333333333</c:v>
                </c:pt>
                <c:pt idx="20">
                  <c:v>0.37255333333333329</c:v>
                </c:pt>
                <c:pt idx="21">
                  <c:v>0.31466133333333335</c:v>
                </c:pt>
                <c:pt idx="22">
                  <c:v>0.35522399999999998</c:v>
                </c:pt>
                <c:pt idx="23">
                  <c:v>0.39573199999999997</c:v>
                </c:pt>
                <c:pt idx="24">
                  <c:v>0.33783999999999997</c:v>
                </c:pt>
                <c:pt idx="25">
                  <c:v>0.37834800000000002</c:v>
                </c:pt>
                <c:pt idx="26">
                  <c:v>0.41885600000000001</c:v>
                </c:pt>
                <c:pt idx="27">
                  <c:v>0.3610186666666666</c:v>
                </c:pt>
                <c:pt idx="28">
                  <c:v>#N/A</c:v>
                </c:pt>
                <c:pt idx="29">
                  <c:v>0.55213333333333325</c:v>
                </c:pt>
                <c:pt idx="30">
                  <c:v>0.4994893333333334</c:v>
                </c:pt>
                <c:pt idx="31">
                  <c:v>0.54530000000000001</c:v>
                </c:pt>
                <c:pt idx="32">
                  <c:v>0.59105599999999991</c:v>
                </c:pt>
                <c:pt idx="33">
                  <c:v>0.53846666666666665</c:v>
                </c:pt>
                <c:pt idx="34">
                  <c:v>0.58427733333333332</c:v>
                </c:pt>
                <c:pt idx="35">
                  <c:v>0.63003333333333333</c:v>
                </c:pt>
                <c:pt idx="36">
                  <c:v>0.57738933333333331</c:v>
                </c:pt>
                <c:pt idx="37">
                  <c:v>0.62319999999999998</c:v>
                </c:pt>
                <c:pt idx="38">
                  <c:v>0.66901066666666664</c:v>
                </c:pt>
                <c:pt idx="39">
                  <c:v>0.61636666666666662</c:v>
                </c:pt>
                <c:pt idx="40">
                  <c:v>0.66212266666666664</c:v>
                </c:pt>
                <c:pt idx="41">
                  <c:v>#N/A</c:v>
                </c:pt>
                <c:pt idx="42">
                  <c:v>0.36626666666666663</c:v>
                </c:pt>
                <c:pt idx="43">
                  <c:v>0.40901599999999999</c:v>
                </c:pt>
                <c:pt idx="44">
                  <c:v>0.45182</c:v>
                </c:pt>
                <c:pt idx="45">
                  <c:v>0.39622399999999997</c:v>
                </c:pt>
                <c:pt idx="46">
                  <c:v>0.43897333333333333</c:v>
                </c:pt>
                <c:pt idx="47">
                  <c:v>0.48172266666666663</c:v>
                </c:pt>
                <c:pt idx="48">
                  <c:v>0.42612666666666671</c:v>
                </c:pt>
                <c:pt idx="49">
                  <c:v>0.46893066666666661</c:v>
                </c:pt>
                <c:pt idx="50">
                  <c:v>0.51168000000000002</c:v>
                </c:pt>
                <c:pt idx="51">
                  <c:v>0.45608399999999988</c:v>
                </c:pt>
                <c:pt idx="52">
                  <c:v>0.49883333333333324</c:v>
                </c:pt>
                <c:pt idx="53">
                  <c:v>0.54158266666666666</c:v>
                </c:pt>
              </c:numCache>
            </c:numRef>
          </c:val>
          <c:extLst>
            <c:ext xmlns:c16="http://schemas.microsoft.com/office/drawing/2014/chart" uri="{C3380CC4-5D6E-409C-BE32-E72D297353CC}">
              <c16:uniqueId val="{00000008-5840-47D9-A5C9-8901BF53A0BD}"/>
            </c:ext>
          </c:extLst>
        </c:ser>
        <c:dLbls>
          <c:showLegendKey val="0"/>
          <c:showVal val="0"/>
          <c:showCatName val="0"/>
          <c:showSerName val="0"/>
          <c:showPercent val="0"/>
          <c:showBubbleSize val="0"/>
        </c:dLbls>
        <c:gapWidth val="40"/>
        <c:overlap val="100"/>
        <c:axId val="2021395295"/>
        <c:axId val="1904684943"/>
      </c:barChart>
      <c:scatterChart>
        <c:scatterStyle val="lineMarker"/>
        <c:varyColors val="0"/>
        <c:ser>
          <c:idx val="8"/>
          <c:order val="8"/>
          <c:tx>
            <c:v>divider</c:v>
          </c:tx>
          <c:spPr>
            <a:ln w="9525">
              <a:solidFill>
                <a:srgbClr val="BFBFBF"/>
              </a:solidFill>
            </a:ln>
          </c:spPr>
          <c:marker>
            <c:symbol val="none"/>
          </c:marker>
          <c:xVal>
            <c:numRef>
              <c:f>Column!$AI$24:$AI$32</c:f>
              <c:numCache>
                <c:formatCode>General</c:formatCode>
                <c:ptCount val="9"/>
                <c:pt idx="0">
                  <c:v>16</c:v>
                </c:pt>
                <c:pt idx="1">
                  <c:v>16</c:v>
                </c:pt>
                <c:pt idx="2">
                  <c:v>16</c:v>
                </c:pt>
                <c:pt idx="3">
                  <c:v>29</c:v>
                </c:pt>
                <c:pt idx="4">
                  <c:v>29</c:v>
                </c:pt>
                <c:pt idx="5">
                  <c:v>29</c:v>
                </c:pt>
                <c:pt idx="6">
                  <c:v>42</c:v>
                </c:pt>
                <c:pt idx="7">
                  <c:v>42</c:v>
                </c:pt>
                <c:pt idx="8">
                  <c:v>42</c:v>
                </c:pt>
              </c:numCache>
            </c:numRef>
          </c:xVal>
          <c:yVal>
            <c:numRef>
              <c:f>Column!$AJ$24:$AJ$32</c:f>
              <c:numCache>
                <c:formatCode>General</c:formatCode>
                <c:ptCount val="9"/>
                <c:pt idx="0">
                  <c:v>0</c:v>
                </c:pt>
                <c:pt idx="1">
                  <c:v>4</c:v>
                </c:pt>
                <c:pt idx="2">
                  <c:v>#N/A</c:v>
                </c:pt>
                <c:pt idx="3">
                  <c:v>0</c:v>
                </c:pt>
                <c:pt idx="4">
                  <c:v>4</c:v>
                </c:pt>
                <c:pt idx="5">
                  <c:v>#N/A</c:v>
                </c:pt>
                <c:pt idx="6">
                  <c:v>0</c:v>
                </c:pt>
                <c:pt idx="7">
                  <c:v>4</c:v>
                </c:pt>
                <c:pt idx="8">
                  <c:v>#N/A</c:v>
                </c:pt>
              </c:numCache>
            </c:numRef>
          </c:yVal>
          <c:smooth val="0"/>
          <c:extLst>
            <c:ext xmlns:c16="http://schemas.microsoft.com/office/drawing/2014/chart" uri="{C3380CC4-5D6E-409C-BE32-E72D297353CC}">
              <c16:uniqueId val="{00000009-5840-47D9-A5C9-8901BF53A0BD}"/>
            </c:ext>
          </c:extLst>
        </c:ser>
        <c:ser>
          <c:idx val="9"/>
          <c:order val="9"/>
          <c:tx>
            <c:v>bandrule</c:v>
          </c:tx>
          <c:spPr>
            <a:ln w="9525">
              <a:solidFill>
                <a:srgbClr val="BFBFBF"/>
              </a:solidFill>
            </a:ln>
          </c:spPr>
          <c:marker>
            <c:symbol val="none"/>
          </c:marker>
          <c:xVal>
            <c:numRef>
              <c:f>Column!$AL$24:$AL$32</c:f>
              <c:numCache>
                <c:formatCode>General</c:formatCode>
                <c:ptCount val="9"/>
                <c:pt idx="0">
                  <c:v>0.5</c:v>
                </c:pt>
                <c:pt idx="1">
                  <c:v>54.5</c:v>
                </c:pt>
                <c:pt idx="2">
                  <c:v>54.5</c:v>
                </c:pt>
                <c:pt idx="3">
                  <c:v>0.5</c:v>
                </c:pt>
                <c:pt idx="4">
                  <c:v>54.5</c:v>
                </c:pt>
                <c:pt idx="5">
                  <c:v>54.5</c:v>
                </c:pt>
                <c:pt idx="6">
                  <c:v>0.5</c:v>
                </c:pt>
                <c:pt idx="7">
                  <c:v>54.5</c:v>
                </c:pt>
                <c:pt idx="8">
                  <c:v>54.5</c:v>
                </c:pt>
              </c:numCache>
            </c:numRef>
          </c:xVal>
          <c:yVal>
            <c:numRef>
              <c:f>Column!$AM$24:$AM$32</c:f>
              <c:numCache>
                <c:formatCode>General</c:formatCode>
                <c:ptCount val="9"/>
                <c:pt idx="0">
                  <c:v>0.90999999999999992</c:v>
                </c:pt>
                <c:pt idx="1">
                  <c:v>0.90999999999999992</c:v>
                </c:pt>
                <c:pt idx="2">
                  <c:v>#N/A</c:v>
                </c:pt>
                <c:pt idx="3">
                  <c:v>1.91</c:v>
                </c:pt>
                <c:pt idx="4">
                  <c:v>1.91</c:v>
                </c:pt>
                <c:pt idx="5">
                  <c:v>#N/A</c:v>
                </c:pt>
                <c:pt idx="6">
                  <c:v>2.91</c:v>
                </c:pt>
                <c:pt idx="7">
                  <c:v>2.91</c:v>
                </c:pt>
                <c:pt idx="8">
                  <c:v>#N/A</c:v>
                </c:pt>
              </c:numCache>
            </c:numRef>
          </c:yVal>
          <c:smooth val="0"/>
          <c:extLst>
            <c:ext xmlns:c16="http://schemas.microsoft.com/office/drawing/2014/chart" uri="{C3380CC4-5D6E-409C-BE32-E72D297353CC}">
              <c16:uniqueId val="{0000000A-5840-47D9-A5C9-8901BF53A0BD}"/>
            </c:ext>
          </c:extLst>
        </c:ser>
        <c:ser>
          <c:idx val="10"/>
          <c:order val="10"/>
          <c:tx>
            <c:v>baseline</c:v>
          </c:tx>
          <c:spPr>
            <a:ln w="9525">
              <a:solidFill>
                <a:srgbClr val="808080"/>
              </a:solidFill>
            </a:ln>
          </c:spPr>
          <c:marker>
            <c:symbol val="none"/>
          </c:marker>
          <c:xVal>
            <c:numRef>
              <c:f>Column!$AO$24:$AO$71</c:f>
              <c:numCache>
                <c:formatCode>General</c:formatCode>
                <c:ptCount val="48"/>
                <c:pt idx="0">
                  <c:v>3.5</c:v>
                </c:pt>
                <c:pt idx="1">
                  <c:v>15.5</c:v>
                </c:pt>
                <c:pt idx="2">
                  <c:v>15.5</c:v>
                </c:pt>
                <c:pt idx="3">
                  <c:v>16.5</c:v>
                </c:pt>
                <c:pt idx="4">
                  <c:v>28.5</c:v>
                </c:pt>
                <c:pt idx="5">
                  <c:v>28.5</c:v>
                </c:pt>
                <c:pt idx="6">
                  <c:v>29.5</c:v>
                </c:pt>
                <c:pt idx="7">
                  <c:v>41.5</c:v>
                </c:pt>
                <c:pt idx="8">
                  <c:v>41.5</c:v>
                </c:pt>
                <c:pt idx="9">
                  <c:v>42.5</c:v>
                </c:pt>
                <c:pt idx="10">
                  <c:v>54.5</c:v>
                </c:pt>
                <c:pt idx="11">
                  <c:v>54.5</c:v>
                </c:pt>
                <c:pt idx="12">
                  <c:v>3.5</c:v>
                </c:pt>
                <c:pt idx="13">
                  <c:v>15.5</c:v>
                </c:pt>
                <c:pt idx="14">
                  <c:v>15.5</c:v>
                </c:pt>
                <c:pt idx="15">
                  <c:v>16.5</c:v>
                </c:pt>
                <c:pt idx="16">
                  <c:v>28.5</c:v>
                </c:pt>
                <c:pt idx="17">
                  <c:v>28.5</c:v>
                </c:pt>
                <c:pt idx="18">
                  <c:v>29.5</c:v>
                </c:pt>
                <c:pt idx="19">
                  <c:v>41.5</c:v>
                </c:pt>
                <c:pt idx="20">
                  <c:v>41.5</c:v>
                </c:pt>
                <c:pt idx="21">
                  <c:v>42.5</c:v>
                </c:pt>
                <c:pt idx="22">
                  <c:v>54.5</c:v>
                </c:pt>
                <c:pt idx="23">
                  <c:v>54.5</c:v>
                </c:pt>
                <c:pt idx="24">
                  <c:v>3.5</c:v>
                </c:pt>
                <c:pt idx="25">
                  <c:v>15.5</c:v>
                </c:pt>
                <c:pt idx="26">
                  <c:v>15.5</c:v>
                </c:pt>
                <c:pt idx="27">
                  <c:v>16.5</c:v>
                </c:pt>
                <c:pt idx="28">
                  <c:v>28.5</c:v>
                </c:pt>
                <c:pt idx="29">
                  <c:v>28.5</c:v>
                </c:pt>
                <c:pt idx="30">
                  <c:v>29.5</c:v>
                </c:pt>
                <c:pt idx="31">
                  <c:v>41.5</c:v>
                </c:pt>
                <c:pt idx="32">
                  <c:v>41.5</c:v>
                </c:pt>
                <c:pt idx="33">
                  <c:v>42.5</c:v>
                </c:pt>
                <c:pt idx="34">
                  <c:v>54.5</c:v>
                </c:pt>
                <c:pt idx="35">
                  <c:v>54.5</c:v>
                </c:pt>
                <c:pt idx="36">
                  <c:v>3.5</c:v>
                </c:pt>
                <c:pt idx="37">
                  <c:v>15.5</c:v>
                </c:pt>
                <c:pt idx="38">
                  <c:v>15.5</c:v>
                </c:pt>
                <c:pt idx="39">
                  <c:v>16.5</c:v>
                </c:pt>
                <c:pt idx="40">
                  <c:v>28.5</c:v>
                </c:pt>
                <c:pt idx="41">
                  <c:v>28.5</c:v>
                </c:pt>
                <c:pt idx="42">
                  <c:v>29.5</c:v>
                </c:pt>
                <c:pt idx="43">
                  <c:v>41.5</c:v>
                </c:pt>
                <c:pt idx="44">
                  <c:v>41.5</c:v>
                </c:pt>
                <c:pt idx="45">
                  <c:v>42.5</c:v>
                </c:pt>
                <c:pt idx="46">
                  <c:v>54.5</c:v>
                </c:pt>
                <c:pt idx="47">
                  <c:v>54.5</c:v>
                </c:pt>
              </c:numCache>
            </c:numRef>
          </c:xVal>
          <c:yVal>
            <c:numRef>
              <c:f>Column!$AP$24:$AP$71</c:f>
              <c:numCache>
                <c:formatCode>General</c:formatCode>
                <c:ptCount val="48"/>
                <c:pt idx="0">
                  <c:v>0</c:v>
                </c:pt>
                <c:pt idx="1">
                  <c:v>0</c:v>
                </c:pt>
                <c:pt idx="2">
                  <c:v>#N/A</c:v>
                </c:pt>
                <c:pt idx="3">
                  <c:v>0</c:v>
                </c:pt>
                <c:pt idx="4">
                  <c:v>0</c:v>
                </c:pt>
                <c:pt idx="5">
                  <c:v>#N/A</c:v>
                </c:pt>
                <c:pt idx="6">
                  <c:v>0</c:v>
                </c:pt>
                <c:pt idx="7">
                  <c:v>0</c:v>
                </c:pt>
                <c:pt idx="8">
                  <c:v>#N/A</c:v>
                </c:pt>
                <c:pt idx="9">
                  <c:v>0</c:v>
                </c:pt>
                <c:pt idx="10">
                  <c:v>0</c:v>
                </c:pt>
                <c:pt idx="11">
                  <c:v>#N/A</c:v>
                </c:pt>
                <c:pt idx="12">
                  <c:v>1</c:v>
                </c:pt>
                <c:pt idx="13">
                  <c:v>1</c:v>
                </c:pt>
                <c:pt idx="14">
                  <c:v>#N/A</c:v>
                </c:pt>
                <c:pt idx="15">
                  <c:v>1</c:v>
                </c:pt>
                <c:pt idx="16">
                  <c:v>1</c:v>
                </c:pt>
                <c:pt idx="17">
                  <c:v>#N/A</c:v>
                </c:pt>
                <c:pt idx="18">
                  <c:v>1</c:v>
                </c:pt>
                <c:pt idx="19">
                  <c:v>1</c:v>
                </c:pt>
                <c:pt idx="20">
                  <c:v>#N/A</c:v>
                </c:pt>
                <c:pt idx="21">
                  <c:v>1</c:v>
                </c:pt>
                <c:pt idx="22">
                  <c:v>1</c:v>
                </c:pt>
                <c:pt idx="23">
                  <c:v>#N/A</c:v>
                </c:pt>
                <c:pt idx="24">
                  <c:v>2</c:v>
                </c:pt>
                <c:pt idx="25">
                  <c:v>2</c:v>
                </c:pt>
                <c:pt idx="26">
                  <c:v>#N/A</c:v>
                </c:pt>
                <c:pt idx="27">
                  <c:v>2</c:v>
                </c:pt>
                <c:pt idx="28">
                  <c:v>2</c:v>
                </c:pt>
                <c:pt idx="29">
                  <c:v>#N/A</c:v>
                </c:pt>
                <c:pt idx="30">
                  <c:v>2</c:v>
                </c:pt>
                <c:pt idx="31">
                  <c:v>2</c:v>
                </c:pt>
                <c:pt idx="32">
                  <c:v>#N/A</c:v>
                </c:pt>
                <c:pt idx="33">
                  <c:v>2</c:v>
                </c:pt>
                <c:pt idx="34">
                  <c:v>2</c:v>
                </c:pt>
                <c:pt idx="35">
                  <c:v>#N/A</c:v>
                </c:pt>
                <c:pt idx="36">
                  <c:v>3</c:v>
                </c:pt>
                <c:pt idx="37">
                  <c:v>3</c:v>
                </c:pt>
                <c:pt idx="38">
                  <c:v>#N/A</c:v>
                </c:pt>
                <c:pt idx="39">
                  <c:v>3</c:v>
                </c:pt>
                <c:pt idx="40">
                  <c:v>3</c:v>
                </c:pt>
                <c:pt idx="41">
                  <c:v>#N/A</c:v>
                </c:pt>
                <c:pt idx="42">
                  <c:v>3</c:v>
                </c:pt>
                <c:pt idx="43">
                  <c:v>3</c:v>
                </c:pt>
                <c:pt idx="44">
                  <c:v>#N/A</c:v>
                </c:pt>
                <c:pt idx="45">
                  <c:v>3</c:v>
                </c:pt>
                <c:pt idx="46">
                  <c:v>3</c:v>
                </c:pt>
                <c:pt idx="47">
                  <c:v>#N/A</c:v>
                </c:pt>
              </c:numCache>
            </c:numRef>
          </c:yVal>
          <c:smooth val="0"/>
          <c:extLst>
            <c:ext xmlns:c16="http://schemas.microsoft.com/office/drawing/2014/chart" uri="{C3380CC4-5D6E-409C-BE32-E72D297353CC}">
              <c16:uniqueId val="{0000000B-5840-47D9-A5C9-8901BF53A0BD}"/>
            </c:ext>
          </c:extLst>
        </c:ser>
        <c:ser>
          <c:idx val="11"/>
          <c:order val="11"/>
          <c:tx>
            <c:v>ptitle</c:v>
          </c:tx>
          <c:spPr>
            <a:ln w="38100">
              <a:noFill/>
            </a:ln>
          </c:spPr>
          <c:marker>
            <c:symbol val="none"/>
          </c:marker>
          <c:dLbls>
            <c:dLbl>
              <c:idx val="0"/>
              <c:tx>
                <c:strRef>
                  <c:f>Column!$AT$24</c:f>
                  <c:strCache>
                    <c:ptCount val="1"/>
                    <c:pt idx="0">
                      <c:v>Business partner 01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{5CA6E61E-CDA4-40E5-8530-B394EC13CC76}</c15:txfldGUID>
                      <c15:f>Column!$AT$24</c15:f>
                      <c15:dlblFieldTableCache>
                        <c:ptCount val="1"/>
                        <c:pt idx="0">
                          <c:v>Business partner 01</c:v>
                        </c:pt>
                      </c15:dlblFieldTableCache>
                    </c15:dlblFTEntry>
                  </c15:dlblFieldTable>
                  <c15:showDataLabelsRange val="0"/>
                </c:ext>
                <c:ext xmlns:c16="http://schemas.microsoft.com/office/drawing/2014/chart" uri="{C3380CC4-5D6E-409C-BE32-E72D297353CC}">
                  <c16:uniqueId val="{0000000E-5840-47D9-A5C9-8901BF53A0BD}"/>
                </c:ext>
              </c:extLst>
            </c:dLbl>
            <c:dLbl>
              <c:idx val="1"/>
              <c:tx>
                <c:strRef>
                  <c:f>Column!$AT$25</c:f>
                  <c:strCache>
                    <c:ptCount val="1"/>
                    <c:pt idx="0">
                      <c:v>Business partner 02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{3E33F789-ED46-4C7D-AE71-0D0606811BC8}</c15:txfldGUID>
                      <c15:f>Column!$AT$25</c15:f>
                      <c15:dlblFieldTableCache>
                        <c:ptCount val="1"/>
                        <c:pt idx="0">
                          <c:v>Business partner 02</c:v>
                        </c:pt>
                      </c15:dlblFieldTableCache>
                    </c15:dlblFTEntry>
                  </c15:dlblFieldTable>
                  <c15:showDataLabelsRange val="0"/>
                </c:ext>
                <c:ext xmlns:c16="http://schemas.microsoft.com/office/drawing/2014/chart" uri="{C3380CC4-5D6E-409C-BE32-E72D297353CC}">
                  <c16:uniqueId val="{0000000F-5840-47D9-A5C9-8901BF53A0BD}"/>
                </c:ext>
              </c:extLst>
            </c:dLbl>
            <c:dLbl>
              <c:idx val="2"/>
              <c:tx>
                <c:strRef>
                  <c:f>Column!$AT$26</c:f>
                  <c:strCache>
                    <c:ptCount val="1"/>
                    <c:pt idx="0">
                      <c:v>Business partner 03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{32029F02-4763-4432-AD6F-E227C6D1C9D4}</c15:txfldGUID>
                      <c15:f>Column!$AT$26</c15:f>
                      <c15:dlblFieldTableCache>
                        <c:ptCount val="1"/>
                        <c:pt idx="0">
                          <c:v>Business partner 03</c:v>
                        </c:pt>
                      </c15:dlblFieldTableCache>
                    </c15:dlblFTEntry>
                  </c15:dlblFieldTable>
                  <c15:showDataLabelsRange val="0"/>
                </c:ext>
                <c:ext xmlns:c16="http://schemas.microsoft.com/office/drawing/2014/chart" uri="{C3380CC4-5D6E-409C-BE32-E72D297353CC}">
                  <c16:uniqueId val="{00000010-5840-47D9-A5C9-8901BF53A0BD}"/>
                </c:ext>
              </c:extLst>
            </c:dLbl>
            <c:dLbl>
              <c:idx val="3"/>
              <c:tx>
                <c:strRef>
                  <c:f>Column!$AT$27</c:f>
                  <c:strCache>
                    <c:ptCount val="1"/>
                    <c:pt idx="0">
                      <c:v>Business partner 04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{1AC8F2FD-49C6-4CAC-B329-E5944A642B9C}</c15:txfldGUID>
                      <c15:f>Column!$AT$27</c15:f>
                      <c15:dlblFieldTableCache>
                        <c:ptCount val="1"/>
                        <c:pt idx="0">
                          <c:v>Business partner 04</c:v>
                        </c:pt>
                      </c15:dlblFieldTableCache>
                    </c15:dlblFTEntry>
                  </c15:dlblFieldTable>
                  <c15:showDataLabelsRange val="0"/>
                </c:ext>
                <c:ext xmlns:c16="http://schemas.microsoft.com/office/drawing/2014/chart" uri="{C3380CC4-5D6E-409C-BE32-E72D297353CC}">
                  <c16:uniqueId val="{00000011-5840-47D9-A5C9-8901BF53A0BD}"/>
                </c:ext>
              </c:extLst>
            </c:dLbl>
            <c:dLbl>
              <c:idx val="4"/>
              <c:tx>
                <c:strRef>
                  <c:f>Column!$AT$28</c:f>
                  <c:strCache>
                    <c:ptCount val="1"/>
                    <c:pt idx="0">
                      <c:v>Business partner 05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{665BE8AC-772C-4A6E-A8BC-8E582DD494AA}</c15:txfldGUID>
                      <c15:f>Column!$AT$28</c15:f>
                      <c15:dlblFieldTableCache>
                        <c:ptCount val="1"/>
                        <c:pt idx="0">
                          <c:v>Business partner 05</c:v>
                        </c:pt>
                      </c15:dlblFieldTableCache>
                    </c15:dlblFTEntry>
                  </c15:dlblFieldTable>
                  <c15:showDataLabelsRange val="0"/>
                </c:ext>
                <c:ext xmlns:c16="http://schemas.microsoft.com/office/drawing/2014/chart" uri="{C3380CC4-5D6E-409C-BE32-E72D297353CC}">
                  <c16:uniqueId val="{00000012-5840-47D9-A5C9-8901BF53A0BD}"/>
                </c:ext>
              </c:extLst>
            </c:dLbl>
            <c:dLbl>
              <c:idx val="5"/>
              <c:tx>
                <c:strRef>
                  <c:f>Column!$AT$29</c:f>
                  <c:strCache>
                    <c:ptCount val="1"/>
                    <c:pt idx="0">
                      <c:v>Business partner 06</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{E55A6521-A489-4CA8-BC4E-F3F8A6119D2A}</c15:txfldGUID>
                      <c15:f>Column!$AT$29</c15:f>
                      <c15:dlblFieldTableCache>
                        <c:ptCount val="1"/>
                        <c:pt idx="0">
                          <c:v>Business partner 06</c:v>
                        </c:pt>
                      </c15:dlblFieldTableCache>
                    </c15:dlblFTEntry>
                  </c15:dlblFieldTable>
                  <c15:showDataLabelsRange val="0"/>
                </c:ext>
                <c:ext xmlns:c16="http://schemas.microsoft.com/office/drawing/2014/chart" uri="{C3380CC4-5D6E-409C-BE32-E72D297353CC}">
                  <c16:uniqueId val="{00000013-5840-47D9-A5C9-8901BF53A0BD}"/>
                </c:ext>
              </c:extLst>
            </c:dLbl>
            <c:dLbl>
              <c:idx val="6"/>
              <c:tx>
                <c:strRef>
                  <c:f>Column!$AT$30</c:f>
                  <c:strCache>
                    <c:ptCount val="1"/>
                    <c:pt idx="0">
                      <c:v>Business partner 07</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{BCBC3114-7424-4BE3-8577-957D2C1F7379}</c15:txfldGUID>
                      <c15:f>Column!$AT$30</c15:f>
                      <c15:dlblFieldTableCache>
                        <c:ptCount val="1"/>
                        <c:pt idx="0">
                          <c:v>Business partner 07</c:v>
                        </c:pt>
                      </c15:dlblFieldTableCache>
                    </c15:dlblFTEntry>
                  </c15:dlblFieldTable>
                  <c15:showDataLabelsRange val="0"/>
                </c:ext>
                <c:ext xmlns:c16="http://schemas.microsoft.com/office/drawing/2014/chart" uri="{C3380CC4-5D6E-409C-BE32-E72D297353CC}">
                  <c16:uniqueId val="{00000014-5840-47D9-A5C9-8901BF53A0BD}"/>
                </c:ext>
              </c:extLst>
            </c:dLbl>
            <c:dLbl>
              <c:idx val="7"/>
              <c:tx>
                <c:strRef>
                  <c:f>Column!$AT$31</c:f>
                  <c:strCache>
                    <c:ptCount val="1"/>
                    <c:pt idx="0">
                      <c:v>Business partner 08</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{354CC1FF-2999-43A2-AA36-BE41B984B517}</c15:txfldGUID>
                      <c15:f>Column!$AT$31</c15:f>
                      <c15:dlblFieldTableCache>
                        <c:ptCount val="1"/>
                        <c:pt idx="0">
                          <c:v>Business partner 08</c:v>
                        </c:pt>
                      </c15:dlblFieldTableCache>
                    </c15:dlblFTEntry>
                  </c15:dlblFieldTable>
                  <c15:showDataLabelsRange val="0"/>
                </c:ext>
                <c:ext xmlns:c16="http://schemas.microsoft.com/office/drawing/2014/chart" uri="{C3380CC4-5D6E-409C-BE32-E72D297353CC}">
                  <c16:uniqueId val="{00000015-5840-47D9-A5C9-8901BF53A0BD}"/>
                </c:ext>
              </c:extLst>
            </c:dLbl>
            <c:dLbl>
              <c:idx val="8"/>
              <c:tx>
                <c:strRef>
                  <c:f>Column!$AT$32</c:f>
                  <c:strCache>
                    <c:ptCount val="1"/>
                    <c:pt idx="0">
                      <c:v>Business partner 09</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{C3013486-D5DE-492D-ABD3-734DB099B227}</c15:txfldGUID>
                      <c15:f>Column!$AT$32</c15:f>
                      <c15:dlblFieldTableCache>
                        <c:ptCount val="1"/>
                        <c:pt idx="0">
                          <c:v>Business partner 09</c:v>
                        </c:pt>
                      </c15:dlblFieldTableCache>
                    </c15:dlblFTEntry>
                  </c15:dlblFieldTable>
                  <c15:showDataLabelsRange val="0"/>
                </c:ext>
                <c:ext xmlns:c16="http://schemas.microsoft.com/office/drawing/2014/chart" uri="{C3380CC4-5D6E-409C-BE32-E72D297353CC}">
                  <c16:uniqueId val="{00000016-5840-47D9-A5C9-8901BF53A0BD}"/>
                </c:ext>
              </c:extLst>
            </c:dLbl>
            <c:dLbl>
              <c:idx val="9"/>
              <c:tx>
                <c:strRef>
                  <c:f>Column!$AT$33</c:f>
                  <c:strCache>
                    <c:ptCount val="1"/>
                    <c:pt idx="0">
                      <c:v>Business partner 10</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{26511F4D-1CD4-4AB7-8DB0-EF7C9BFC52B3}</c15:txfldGUID>
                      <c15:f>Column!$AT$33</c15:f>
                      <c15:dlblFieldTableCache>
                        <c:ptCount val="1"/>
                        <c:pt idx="0">
                          <c:v>Business partner 10</c:v>
                        </c:pt>
                      </c15:dlblFieldTableCache>
                    </c15:dlblFTEntry>
                  </c15:dlblFieldTable>
                  <c15:showDataLabelsRange val="0"/>
                </c:ext>
                <c:ext xmlns:c16="http://schemas.microsoft.com/office/drawing/2014/chart" uri="{C3380CC4-5D6E-409C-BE32-E72D297353CC}">
                  <c16:uniqueId val="{00000017-5840-47D9-A5C9-8901BF53A0BD}"/>
                </c:ext>
              </c:extLst>
            </c:dLbl>
            <c:dLbl>
              <c:idx val="10"/>
              <c:tx>
                <c:strRef>
                  <c:f>Column!$AT$34</c:f>
                  <c:strCache>
                    <c:ptCount val="1"/>
                    <c:pt idx="0">
                      <c:v>Business partner 11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{3A4F3900-50D5-45BF-9083-C928F8F8848A}</c15:txfldGUID>
                      <c15:f>Column!$AT$34</c15:f>
                      <c15:dlblFieldTableCache>
                        <c:ptCount val="1"/>
                        <c:pt idx="0">
                          <c:v>Business partner 11</c:v>
                        </c:pt>
                      </c15:dlblFieldTableCache>
                    </c15:dlblFTEntry>
                  </c15:dlblFieldTable>
                  <c15:showDataLabelsRange val="0"/>
                </c:ext>
                <c:ext xmlns:c16="http://schemas.microsoft.com/office/drawing/2014/chart" uri="{C3380CC4-5D6E-409C-BE32-E72D297353CC}">
                  <c16:uniqueId val="{00000018-5840-47D9-A5C9-8901BF53A0BD}"/>
                </c:ext>
              </c:extLst>
            </c:dLbl>
            <c:dLbl>
              <c:idx val="11"/>
              <c:tx>
                <c:strRef>
                  <c:f>Column!$AT$35</c:f>
                  <c:strCache>
                    <c:ptCount val="1"/>
                    <c:pt idx="0">
                      <c:v>Business partner 12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{5E2A0BE0-A14F-437A-AB83-425AFEDBE43E}</c15:txfldGUID>
                      <c15:f>Column!$AT$35</c15:f>
                      <c15:dlblFieldTableCache>
                        <c:ptCount val="1"/>
                        <c:pt idx="0">
                          <c:v>Business partner 12</c:v>
                        </c:pt>
                      </c15:dlblFieldTableCache>
                    </c15:dlblFTEntry>
                  </c15:dlblFieldTable>
                  <c15:showDataLabelsRange val="0"/>
                </c:ext>
                <c:ext xmlns:c16="http://schemas.microsoft.com/office/drawing/2014/chart" uri="{C3380CC4-5D6E-409C-BE32-E72D297353CC}">
                  <c16:uniqueId val="{00000019-5840-47D9-A5C9-8901BF53A0BD}"/>
                </c:ext>
              </c:extLst>
            </c:dLbl>
            <c:dLbl>
              <c:idx val="12"/>
              <c:tx>
                <c:strRef>
                  <c:f>Column!$AT$36</c:f>
                  <c:strCache>
                    <c:ptCount val="1"/>
                    <c:pt idx="0">
                      <c:v>Business partner 13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{E3AF1629-A2AB-486E-9521-CD5EDB1374DC}</c15:txfldGUID>
                      <c15:f>Column!$AT$36</c15:f>
                      <c15:dlblFieldTableCache>
                        <c:ptCount val="1"/>
                        <c:pt idx="0">
                          <c:v>Business partner 13</c:v>
                        </c:pt>
                      </c15:dlblFieldTableCache>
                    </c15:dlblFTEntry>
                  </c15:dlblFieldTable>
                  <c15:showDataLabelsRange val="0"/>
                </c:ext>
                <c:ext xmlns:c16="http://schemas.microsoft.com/office/drawing/2014/chart" uri="{C3380CC4-5D6E-409C-BE32-E72D297353CC}">
                  <c16:uniqueId val="{0000001A-5840-47D9-A5C9-8901BF53A0BD}"/>
                </c:ext>
              </c:extLst>
            </c:dLbl>
            <c:dLbl>
              <c:idx val="13"/>
              <c:tx>
                <c:strRef>
                  <c:f>Column!$AT$37</c:f>
                  <c:strCache>
                    <c:ptCount val="1"/>
                    <c:pt idx="0">
                      <c:v>Business partner 14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{A3BEDB4F-4D5E-42AD-9644-80F1F7B76DCF}</c15:txfldGUID>
                      <c15:f>Column!$AT$37</c15:f>
                      <c15:dlblFieldTableCache>
                        <c:ptCount val="1"/>
                        <c:pt idx="0">
                          <c:v>Business partner 14</c:v>
                        </c:pt>
                      </c15:dlblFieldTableCache>
                    </c15:dlblFTEntry>
                  </c15:dlblFieldTable>
                  <c15:showDataLabelsRange val="0"/>
                </c:ext>
                <c:ext xmlns:c16="http://schemas.microsoft.com/office/drawing/2014/chart" uri="{C3380CC4-5D6E-409C-BE32-E72D297353CC}">
                  <c16:uniqueId val="{0000001B-5840-47D9-A5C9-8901BF53A0BD}"/>
                </c:ext>
              </c:extLst>
            </c:dLbl>
            <c:dLbl>
              <c:idx val="14"/>
              <c:tx>
                <c:strRef>
                  <c:f>Column!$AT$38</c:f>
                  <c:strCache>
                    <c:ptCount val="1"/>
                    <c:pt idx="0">
                      <c:v>Business partner 15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{F11BAB0E-A815-4DFF-B948-8443FA6CE6B0}</c15:txfldGUID>
                      <c15:f>Column!$AT$38</c15:f>
                      <c15:dlblFieldTableCache>
                        <c:ptCount val="1"/>
                        <c:pt idx="0">
                          <c:v>Business partner 15</c:v>
                        </c:pt>
                      </c15:dlblFieldTableCache>
                    </c15:dlblFTEntry>
                  </c15:dlblFieldTable>
                  <c15:showDataLabelsRange val="0"/>
                </c:ext>
                <c:ext xmlns:c16="http://schemas.microsoft.com/office/drawing/2014/chart" uri="{C3380CC4-5D6E-409C-BE32-E72D297353CC}">
                  <c16:uniqueId val="{0000001C-5840-47D9-A5C9-8901BF53A0BD}"/>
                </c:ext>
              </c:extLst>
            </c:dLbl>
            <c:dLbl>
              <c:idx val="15"/>
              <c:tx>
                <c:strRef>
                  <c:f>Column!$AT$39</c:f>
                  <c:strCache>
                    <c:ptCount val="1"/>
                    <c:pt idx="0">
                      <c:v>Business partner 16</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{348068DB-BB32-49F1-8077-5B7D92D4372F}</c15:txfldGUID>
                      <c15:f>Column!$AT$39</c15:f>
                      <c15:dlblFieldTableCache>
                        <c:ptCount val="1"/>
                        <c:pt idx="0">
                          <c:v>Business partner 16</c:v>
                        </c:pt>
                      </c15:dlblFieldTableCache>
                    </c15:dlblFTEntry>
                  </c15:dlblFieldTable>
                  <c15:showDataLabelsRange val="0"/>
                </c:ext>
                <c:ext xmlns:c16="http://schemas.microsoft.com/office/drawing/2014/chart" uri="{C3380CC4-5D6E-409C-BE32-E72D297353CC}">
                  <c16:uniqueId val="{0000001D-5840-47D9-A5C9-8901BF53A0B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Column!$AR$24:$AR$39</c:f>
              <c:numCache>
                <c:formatCode>General</c:formatCode>
                <c:ptCount val="16"/>
                <c:pt idx="0">
                  <c:v>4</c:v>
                </c:pt>
                <c:pt idx="1">
                  <c:v>17</c:v>
                </c:pt>
                <c:pt idx="2">
                  <c:v>30</c:v>
                </c:pt>
                <c:pt idx="3">
                  <c:v>43</c:v>
                </c:pt>
                <c:pt idx="4">
                  <c:v>4</c:v>
                </c:pt>
                <c:pt idx="5">
                  <c:v>17</c:v>
                </c:pt>
                <c:pt idx="6">
                  <c:v>30</c:v>
                </c:pt>
                <c:pt idx="7">
                  <c:v>43</c:v>
                </c:pt>
                <c:pt idx="8">
                  <c:v>4</c:v>
                </c:pt>
                <c:pt idx="9">
                  <c:v>17</c:v>
                </c:pt>
                <c:pt idx="10">
                  <c:v>30</c:v>
                </c:pt>
                <c:pt idx="11">
                  <c:v>43</c:v>
                </c:pt>
                <c:pt idx="12">
                  <c:v>4</c:v>
                </c:pt>
                <c:pt idx="13">
                  <c:v>17</c:v>
                </c:pt>
                <c:pt idx="14">
                  <c:v>30</c:v>
                </c:pt>
                <c:pt idx="15">
                  <c:v>43</c:v>
                </c:pt>
              </c:numCache>
            </c:numRef>
          </c:xVal>
          <c:yVal>
            <c:numRef>
              <c:f>Column!$AS$24:$AS$39</c:f>
              <c:numCache>
                <c:formatCode>General</c:formatCode>
                <c:ptCount val="16"/>
                <c:pt idx="0">
                  <c:v>3.8499999999999996</c:v>
                </c:pt>
                <c:pt idx="1">
                  <c:v>3.8499999999999996</c:v>
                </c:pt>
                <c:pt idx="2">
                  <c:v>3.8499999999999996</c:v>
                </c:pt>
                <c:pt idx="3">
                  <c:v>3.8499999999999996</c:v>
                </c:pt>
                <c:pt idx="4">
                  <c:v>2.8499999999999996</c:v>
                </c:pt>
                <c:pt idx="5">
                  <c:v>2.8499999999999996</c:v>
                </c:pt>
                <c:pt idx="6">
                  <c:v>2.8499999999999996</c:v>
                </c:pt>
                <c:pt idx="7">
                  <c:v>2.8499999999999996</c:v>
                </c:pt>
                <c:pt idx="8">
                  <c:v>1.8499999999999999</c:v>
                </c:pt>
                <c:pt idx="9">
                  <c:v>1.8499999999999999</c:v>
                </c:pt>
                <c:pt idx="10">
                  <c:v>1.8499999999999999</c:v>
                </c:pt>
                <c:pt idx="11">
                  <c:v>1.8499999999999999</c:v>
                </c:pt>
                <c:pt idx="12">
                  <c:v>0.85</c:v>
                </c:pt>
                <c:pt idx="13">
                  <c:v>0.85</c:v>
                </c:pt>
                <c:pt idx="14">
                  <c:v>0.85</c:v>
                </c:pt>
                <c:pt idx="15">
                  <c:v>0.85</c:v>
                </c:pt>
              </c:numCache>
            </c:numRef>
          </c:yVal>
          <c:smooth val="0"/>
          <c:extLst>
            <c:ext xmlns:c16="http://schemas.microsoft.com/office/drawing/2014/chart" uri="{C3380CC4-5D6E-409C-BE32-E72D297353CC}">
              <c16:uniqueId val="{0000000C-5840-47D9-A5C9-8901BF53A0BD}"/>
            </c:ext>
          </c:extLst>
        </c:ser>
        <c:ser>
          <c:idx val="12"/>
          <c:order val="12"/>
          <c:tx>
            <c:v>ytick</c:v>
          </c:tx>
          <c:spPr>
            <a:ln w="38100">
              <a:noFill/>
            </a:ln>
          </c:spPr>
          <c:marker>
            <c:symbol val="none"/>
          </c:marker>
          <c:dLbls>
            <c:dLbl>
              <c:idx val="0"/>
              <c:tx>
                <c:strRef>
                  <c:f>Column!$AX$24</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{56751C3F-F793-47DD-9411-8DD79756CAA0}</c15:txfldGUID>
                      <c15:f>Column!$AX$24</c15:f>
                      <c15:dlblFieldTableCache>
                        <c:ptCount val="1"/>
                        <c:pt idx="0">
                          <c:v>0</c:v>
                        </c:pt>
                      </c15:dlblFieldTableCache>
                    </c15:dlblFTEntry>
                  </c15:dlblFieldTable>
                  <c15:showDataLabelsRange val="0"/>
                </c:ext>
                <c:ext xmlns:c16="http://schemas.microsoft.com/office/drawing/2014/chart" uri="{C3380CC4-5D6E-409C-BE32-E72D297353CC}">
                  <c16:uniqueId val="{0000001E-5840-47D9-A5C9-8901BF53A0BD}"/>
                </c:ext>
              </c:extLst>
            </c:dLbl>
            <c:dLbl>
              <c:idx val="1"/>
              <c:tx>
                <c:strRef>
                  <c:f>Column!$AX$25</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{463BDA2B-8678-471E-AD02-58DFD25CDCC0}</c15:txfldGUID>
                      <c15:f>Column!$AX$25</c15:f>
                      <c15:dlblFieldTableCache>
                        <c:ptCount val="1"/>
                        <c:pt idx="0">
                          <c:v>750</c:v>
                        </c:pt>
                      </c15:dlblFieldTableCache>
                    </c15:dlblFTEntry>
                  </c15:dlblFieldTable>
                  <c15:showDataLabelsRange val="0"/>
                </c:ext>
                <c:ext xmlns:c16="http://schemas.microsoft.com/office/drawing/2014/chart" uri="{C3380CC4-5D6E-409C-BE32-E72D297353CC}">
                  <c16:uniqueId val="{0000001F-5840-47D9-A5C9-8901BF53A0BD}"/>
                </c:ext>
              </c:extLst>
            </c:dLbl>
            <c:dLbl>
              <c:idx val="2"/>
              <c:tx>
                <c:strRef>
                  <c:f>Column!$AX$26</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{0B962777-55DF-4553-8766-FCB1BBCD16F2}</c15:txfldGUID>
                      <c15:f>Column!$AX$26</c15:f>
                      <c15:dlblFieldTableCache>
                        <c:ptCount val="1"/>
                        <c:pt idx="0">
                          <c:v>1,500</c:v>
                        </c:pt>
                      </c15:dlblFieldTableCache>
                    </c15:dlblFTEntry>
                  </c15:dlblFieldTable>
                  <c15:showDataLabelsRange val="0"/>
                </c:ext>
                <c:ext xmlns:c16="http://schemas.microsoft.com/office/drawing/2014/chart" uri="{C3380CC4-5D6E-409C-BE32-E72D297353CC}">
                  <c16:uniqueId val="{00000020-5840-47D9-A5C9-8901BF53A0BD}"/>
                </c:ext>
              </c:extLst>
            </c:dLbl>
            <c:dLbl>
              <c:idx val="3"/>
              <c:tx>
                <c:strRef>
                  <c:f>Column!$AX$27</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{66988DD1-0336-416E-906C-A4170125F07C}</c15:txfldGUID>
                      <c15:f>Column!$AX$27</c15:f>
                      <c15:dlblFieldTableCache>
                        <c:ptCount val="1"/>
                        <c:pt idx="0">
                          <c:v>0</c:v>
                        </c:pt>
                      </c15:dlblFieldTableCache>
                    </c15:dlblFTEntry>
                  </c15:dlblFieldTable>
                  <c15:showDataLabelsRange val="0"/>
                </c:ext>
                <c:ext xmlns:c16="http://schemas.microsoft.com/office/drawing/2014/chart" uri="{C3380CC4-5D6E-409C-BE32-E72D297353CC}">
                  <c16:uniqueId val="{00000021-5840-47D9-A5C9-8901BF53A0BD}"/>
                </c:ext>
              </c:extLst>
            </c:dLbl>
            <c:dLbl>
              <c:idx val="4"/>
              <c:tx>
                <c:strRef>
                  <c:f>Column!$AX$28</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{A2DD8BEE-3B5B-4B54-B091-E4F12DA9F410}</c15:txfldGUID>
                      <c15:f>Column!$AX$28</c15:f>
                      <c15:dlblFieldTableCache>
                        <c:ptCount val="1"/>
                        <c:pt idx="0">
                          <c:v>750</c:v>
                        </c:pt>
                      </c15:dlblFieldTableCache>
                    </c15:dlblFTEntry>
                  </c15:dlblFieldTable>
                  <c15:showDataLabelsRange val="0"/>
                </c:ext>
                <c:ext xmlns:c16="http://schemas.microsoft.com/office/drawing/2014/chart" uri="{C3380CC4-5D6E-409C-BE32-E72D297353CC}">
                  <c16:uniqueId val="{00000022-5840-47D9-A5C9-8901BF53A0BD}"/>
                </c:ext>
              </c:extLst>
            </c:dLbl>
            <c:dLbl>
              <c:idx val="5"/>
              <c:tx>
                <c:strRef>
                  <c:f>Column!$AX$29</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{B4EF3A0C-1FCD-4C7E-9C8F-04045956EEFF}</c15:txfldGUID>
                      <c15:f>Column!$AX$29</c15:f>
                      <c15:dlblFieldTableCache>
                        <c:ptCount val="1"/>
                        <c:pt idx="0">
                          <c:v>1,500</c:v>
                        </c:pt>
                      </c15:dlblFieldTableCache>
                    </c15:dlblFTEntry>
                  </c15:dlblFieldTable>
                  <c15:showDataLabelsRange val="0"/>
                </c:ext>
                <c:ext xmlns:c16="http://schemas.microsoft.com/office/drawing/2014/chart" uri="{C3380CC4-5D6E-409C-BE32-E72D297353CC}">
                  <c16:uniqueId val="{00000023-5840-47D9-A5C9-8901BF53A0BD}"/>
                </c:ext>
              </c:extLst>
            </c:dLbl>
            <c:dLbl>
              <c:idx val="6"/>
              <c:tx>
                <c:strRef>
                  <c:f>Column!$AX$30</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{513A1D57-03DE-46C5-A918-03F2DD42ACBC}</c15:txfldGUID>
                      <c15:f>Column!$AX$30</c15:f>
                      <c15:dlblFieldTableCache>
                        <c:ptCount val="1"/>
                        <c:pt idx="0">
                          <c:v>0</c:v>
                        </c:pt>
                      </c15:dlblFieldTableCache>
                    </c15:dlblFTEntry>
                  </c15:dlblFieldTable>
                  <c15:showDataLabelsRange val="0"/>
                </c:ext>
                <c:ext xmlns:c16="http://schemas.microsoft.com/office/drawing/2014/chart" uri="{C3380CC4-5D6E-409C-BE32-E72D297353CC}">
                  <c16:uniqueId val="{00000024-5840-47D9-A5C9-8901BF53A0BD}"/>
                </c:ext>
              </c:extLst>
            </c:dLbl>
            <c:dLbl>
              <c:idx val="7"/>
              <c:tx>
                <c:strRef>
                  <c:f>Column!$AX$31</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{AAF24AC4-7E74-4DAC-B9C0-6FC8612A1E2D}</c15:txfldGUID>
                      <c15:f>Column!$AX$31</c15:f>
                      <c15:dlblFieldTableCache>
                        <c:ptCount val="1"/>
                        <c:pt idx="0">
                          <c:v>750</c:v>
                        </c:pt>
                      </c15:dlblFieldTableCache>
                    </c15:dlblFTEntry>
                  </c15:dlblFieldTable>
                  <c15:showDataLabelsRange val="0"/>
                </c:ext>
                <c:ext xmlns:c16="http://schemas.microsoft.com/office/drawing/2014/chart" uri="{C3380CC4-5D6E-409C-BE32-E72D297353CC}">
                  <c16:uniqueId val="{00000025-5840-47D9-A5C9-8901BF53A0BD}"/>
                </c:ext>
              </c:extLst>
            </c:dLbl>
            <c:dLbl>
              <c:idx val="8"/>
              <c:tx>
                <c:strRef>
                  <c:f>Column!$AX$32</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{E09E0921-65CE-457D-95A5-4E920BDC5252}</c15:txfldGUID>
                      <c15:f>Column!$AX$32</c15:f>
                      <c15:dlblFieldTableCache>
                        <c:ptCount val="1"/>
                        <c:pt idx="0">
                          <c:v>1,500</c:v>
                        </c:pt>
                      </c15:dlblFieldTableCache>
                    </c15:dlblFTEntry>
                  </c15:dlblFieldTable>
                  <c15:showDataLabelsRange val="0"/>
                </c:ext>
                <c:ext xmlns:c16="http://schemas.microsoft.com/office/drawing/2014/chart" uri="{C3380CC4-5D6E-409C-BE32-E72D297353CC}">
                  <c16:uniqueId val="{00000026-5840-47D9-A5C9-8901BF53A0BD}"/>
                </c:ext>
              </c:extLst>
            </c:dLbl>
            <c:dLbl>
              <c:idx val="9"/>
              <c:tx>
                <c:strRef>
                  <c:f>Column!$AX$33</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{631986D2-2456-404B-B51B-62B8E8A3B5F0}</c15:txfldGUID>
                      <c15:f>Column!$AX$33</c15:f>
                      <c15:dlblFieldTableCache>
                        <c:ptCount val="1"/>
                        <c:pt idx="0">
                          <c:v>0</c:v>
                        </c:pt>
                      </c15:dlblFieldTableCache>
                    </c15:dlblFTEntry>
                  </c15:dlblFieldTable>
                  <c15:showDataLabelsRange val="0"/>
                </c:ext>
                <c:ext xmlns:c16="http://schemas.microsoft.com/office/drawing/2014/chart" uri="{C3380CC4-5D6E-409C-BE32-E72D297353CC}">
                  <c16:uniqueId val="{00000027-5840-47D9-A5C9-8901BF53A0BD}"/>
                </c:ext>
              </c:extLst>
            </c:dLbl>
            <c:dLbl>
              <c:idx val="10"/>
              <c:tx>
                <c:strRef>
                  <c:f>Column!$AX$34</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{7FAE5173-C43B-46CF-A54F-E296749E5F6D}</c15:txfldGUID>
                      <c15:f>Column!$AX$34</c15:f>
                      <c15:dlblFieldTableCache>
                        <c:ptCount val="1"/>
                        <c:pt idx="0">
                          <c:v>750</c:v>
                        </c:pt>
                      </c15:dlblFieldTableCache>
                    </c15:dlblFTEntry>
                  </c15:dlblFieldTable>
                  <c15:showDataLabelsRange val="0"/>
                </c:ext>
                <c:ext xmlns:c16="http://schemas.microsoft.com/office/drawing/2014/chart" uri="{C3380CC4-5D6E-409C-BE32-E72D297353CC}">
                  <c16:uniqueId val="{00000028-5840-47D9-A5C9-8901BF53A0BD}"/>
                </c:ext>
              </c:extLst>
            </c:dLbl>
            <c:dLbl>
              <c:idx val="11"/>
              <c:tx>
                <c:strRef>
                  <c:f>Column!$AX$35</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{635278EC-8026-4C31-9462-6D31E154CD2F}</c15:txfldGUID>
                      <c15:f>Column!$AX$35</c15:f>
                      <c15:dlblFieldTableCache>
                        <c:ptCount val="1"/>
                        <c:pt idx="0">
                          <c:v>1,500</c:v>
                        </c:pt>
                      </c15:dlblFieldTableCache>
                    </c15:dlblFTEntry>
                  </c15:dlblFieldTable>
                  <c15:showDataLabelsRange val="0"/>
                </c:ext>
                <c:ext xmlns:c16="http://schemas.microsoft.com/office/drawing/2014/chart" uri="{C3380CC4-5D6E-409C-BE32-E72D297353CC}">
                  <c16:uniqueId val="{00000029-5840-47D9-A5C9-8901BF53A0B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Column!$AV$24:$AV$35</c:f>
              <c:numCache>
                <c:formatCode>General</c:formatCode>
                <c:ptCount val="12"/>
                <c:pt idx="0">
                  <c:v>3.35</c:v>
                </c:pt>
                <c:pt idx="1">
                  <c:v>3.35</c:v>
                </c:pt>
                <c:pt idx="2">
                  <c:v>3.35</c:v>
                </c:pt>
                <c:pt idx="3">
                  <c:v>3.35</c:v>
                </c:pt>
                <c:pt idx="4">
                  <c:v>3.35</c:v>
                </c:pt>
                <c:pt idx="5">
                  <c:v>3.35</c:v>
                </c:pt>
                <c:pt idx="6">
                  <c:v>3.35</c:v>
                </c:pt>
                <c:pt idx="7">
                  <c:v>3.35</c:v>
                </c:pt>
                <c:pt idx="8">
                  <c:v>3.35</c:v>
                </c:pt>
                <c:pt idx="9">
                  <c:v>3.35</c:v>
                </c:pt>
                <c:pt idx="10">
                  <c:v>3.35</c:v>
                </c:pt>
                <c:pt idx="11">
                  <c:v>3.35</c:v>
                </c:pt>
              </c:numCache>
            </c:numRef>
          </c:xVal>
          <c:yVal>
            <c:numRef>
              <c:f>Column!$AW$24:$AW$35</c:f>
              <c:numCache>
                <c:formatCode>General</c:formatCode>
                <c:ptCount val="12"/>
                <c:pt idx="0">
                  <c:v>0</c:v>
                </c:pt>
                <c:pt idx="1">
                  <c:v>0.41</c:v>
                </c:pt>
                <c:pt idx="2">
                  <c:v>0.82</c:v>
                </c:pt>
                <c:pt idx="3">
                  <c:v>1</c:v>
                </c:pt>
                <c:pt idx="4">
                  <c:v>1.41</c:v>
                </c:pt>
                <c:pt idx="5">
                  <c:v>1.8199999999999998</c:v>
                </c:pt>
                <c:pt idx="6">
                  <c:v>2</c:v>
                </c:pt>
                <c:pt idx="7">
                  <c:v>2.41</c:v>
                </c:pt>
                <c:pt idx="8">
                  <c:v>2.82</c:v>
                </c:pt>
                <c:pt idx="9">
                  <c:v>3</c:v>
                </c:pt>
                <c:pt idx="10">
                  <c:v>3.41</c:v>
                </c:pt>
                <c:pt idx="11">
                  <c:v>3.82</c:v>
                </c:pt>
              </c:numCache>
            </c:numRef>
          </c:yVal>
          <c:smooth val="0"/>
          <c:extLst>
            <c:ext xmlns:c16="http://schemas.microsoft.com/office/drawing/2014/chart" uri="{C3380CC4-5D6E-409C-BE32-E72D297353CC}">
              <c16:uniqueId val="{0000000D-5840-47D9-A5C9-8901BF53A0BD}"/>
            </c:ext>
          </c:extLst>
        </c:ser>
        <c:dLbls>
          <c:showLegendKey val="0"/>
          <c:showVal val="0"/>
          <c:showCatName val="0"/>
          <c:showSerName val="0"/>
          <c:showPercent val="0"/>
          <c:showBubbleSize val="0"/>
        </c:dLbls>
        <c:axId val="1904693583"/>
        <c:axId val="1904695503"/>
      </c:scatterChart>
      <c:catAx>
        <c:axId val="2021395295"/>
        <c:scaling>
          <c:orientation val="minMax"/>
        </c:scaling>
        <c:delete val="0"/>
        <c:axPos val="b"/>
        <c:numFmt formatCode="General" sourceLinked="1"/>
        <c:majorTickMark val="none"/>
        <c:minorTickMark val="none"/>
        <c:tickLblPos val="low"/>
        <c:spPr>
          <a:ln>
            <a:solidFill>
              <a:srgbClr val="A6A6A6"/>
            </a:solidFill>
          </a:ln>
        </c:spPr>
        <c:txPr>
          <a:bodyPr/>
          <a:lstStyle/>
          <a:p>
            <a:pPr>
              <a:defRPr sz="800"/>
            </a:pPr>
            <a:endParaRPr lang="en-US"/>
          </a:p>
        </c:txPr>
        <c:crossAx val="1904684943"/>
        <c:crosses val="autoZero"/>
        <c:auto val="1"/>
        <c:lblAlgn val="ctr"/>
        <c:lblOffset val="100"/>
        <c:noMultiLvlLbl val="0"/>
      </c:catAx>
      <c:valAx>
        <c:axId val="1904684943"/>
        <c:scaling>
          <c:orientation val="minMax"/>
          <c:max val="4"/>
          <c:min val="0"/>
        </c:scaling>
        <c:delete val="0"/>
        <c:axPos val="l"/>
        <c:numFmt formatCode="#,##0.000"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2021395295"/>
        <c:crosses val="autoZero"/>
        <c:crossBetween val="between"/>
      </c:valAx>
      <c:valAx>
        <c:axId val="1904695503"/>
        <c:scaling>
          <c:orientation val="minMax"/>
          <c:max val="4"/>
          <c:min val="0"/>
        </c:scaling>
        <c:delete val="0"/>
        <c:axPos val="r"/>
        <c:numFmt formatCode="General"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1904693583"/>
        <c:crosses val="max"/>
        <c:crossBetween val="midCat"/>
      </c:valAx>
      <c:valAx>
        <c:axId val="1904693583"/>
        <c:scaling>
          <c:orientation val="minMax"/>
          <c:max val="54.5"/>
          <c:min val="0.5"/>
        </c:scaling>
        <c:delete val="1"/>
        <c:axPos val="b"/>
        <c:numFmt formatCode="General" sourceLinked="1"/>
        <c:majorTickMark val="none"/>
        <c:minorTickMark val="none"/>
        <c:tickLblPos val="none"/>
        <c:crossAx val="1904695503"/>
        <c:crossBetween val="midCat"/>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a:pPr>
            <a:r>
              <a:rPr lang="en-US"/>
              <a:t>Revenue by business partner</a:t>
            </a:r>
          </a:p>
        </c:rich>
      </c:tx>
      <c:overlay val="0"/>
    </c:title>
    <c:autoTitleDeleted val="0"/>
    <c:plotArea>
      <c:layout/>
      <c:areaChart>
        <c:grouping val="stacked"/>
        <c:varyColors val="0"/>
        <c:ser>
          <c:idx val="0"/>
          <c:order val="0"/>
          <c:tx>
            <c:v> </c:v>
          </c:tx>
          <c:spPr>
            <a:noFill/>
            <a:ln>
              <a:noFill/>
            </a:ln>
            <a:effectLst/>
            <a:extLst>
              <a:ext uri="{909E8E84-426E-40DD-AFC4-6F175D3DCCD1}">
                <a14:hiddenFill xmlns:a14="http://schemas.microsoft.com/office/drawing/2010/main">
                  <a:solidFill>
                    <a:srgbClr val="156082"/>
                  </a:solidFill>
                </a14:hiddenFill>
              </a:ext>
              <a:ext uri="{91240B29-F687-4F45-9708-019B960494DF}">
                <a14:hiddenLine xmlns:a14="http://schemas.microsoft.com/office/drawing/2010/main">
                  <a:noFill/>
                </a14:hiddenLine>
              </a:ext>
            </a:extLst>
          </c:spPr>
          <c:cat>
            <c:strRef>
              <c:f>Area!$Y$24:$Y$95</c:f>
              <c:strCache>
                <c:ptCount val="70"/>
                <c:pt idx="4">
                  <c:v>Jan</c:v>
                </c:pt>
                <c:pt idx="7">
                  <c:v>Apr</c:v>
                </c:pt>
                <c:pt idx="10">
                  <c:v>Jul</c:v>
                </c:pt>
                <c:pt idx="13">
                  <c:v>Oct</c:v>
                </c:pt>
                <c:pt idx="18">
                  <c:v>Jan</c:v>
                </c:pt>
                <c:pt idx="21">
                  <c:v>Apr</c:v>
                </c:pt>
                <c:pt idx="24">
                  <c:v>Jul</c:v>
                </c:pt>
                <c:pt idx="27">
                  <c:v>Oct</c:v>
                </c:pt>
                <c:pt idx="32">
                  <c:v>Jan</c:v>
                </c:pt>
                <c:pt idx="35">
                  <c:v>Apr</c:v>
                </c:pt>
                <c:pt idx="38">
                  <c:v>Jul</c:v>
                </c:pt>
                <c:pt idx="41">
                  <c:v>Oct</c:v>
                </c:pt>
                <c:pt idx="46">
                  <c:v>Jan</c:v>
                </c:pt>
                <c:pt idx="49">
                  <c:v>Apr</c:v>
                </c:pt>
                <c:pt idx="52">
                  <c:v>Jul</c:v>
                </c:pt>
                <c:pt idx="55">
                  <c:v>Oct</c:v>
                </c:pt>
                <c:pt idx="60">
                  <c:v>Jan</c:v>
                </c:pt>
                <c:pt idx="63">
                  <c:v>Apr</c:v>
                </c:pt>
                <c:pt idx="66">
                  <c:v>Jul</c:v>
                </c:pt>
                <c:pt idx="69">
                  <c:v>Oct</c:v>
                </c:pt>
              </c:strCache>
            </c:strRef>
          </c:cat>
          <c:val>
            <c:numRef>
              <c:f>Area!$Z$24:$Z$95</c:f>
              <c:numCache>
                <c:formatCode>#,##0.000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numCache>
            </c:numRef>
          </c:val>
          <c:extLst>
            <c:ext xmlns:c16="http://schemas.microsoft.com/office/drawing/2014/chart" uri="{C3380CC4-5D6E-409C-BE32-E72D297353CC}">
              <c16:uniqueId val="{00000001-2FCC-4A3F-9A92-3340BC47D276}"/>
            </c:ext>
          </c:extLst>
        </c:ser>
        <c:ser>
          <c:idx val="1"/>
          <c:order val="1"/>
          <c:tx>
            <c:v>Revenue</c:v>
          </c:tx>
          <c:spPr>
            <a:solidFill>
              <a:srgbClr val="1F4E79"/>
            </a:solidFill>
            <a:ln w="25400">
              <a:noFill/>
            </a:ln>
          </c:spPr>
          <c:cat>
            <c:strRef>
              <c:f>Area!$Y$24:$Y$95</c:f>
              <c:strCache>
                <c:ptCount val="70"/>
                <c:pt idx="4">
                  <c:v>Jan</c:v>
                </c:pt>
                <c:pt idx="7">
                  <c:v>Apr</c:v>
                </c:pt>
                <c:pt idx="10">
                  <c:v>Jul</c:v>
                </c:pt>
                <c:pt idx="13">
                  <c:v>Oct</c:v>
                </c:pt>
                <c:pt idx="18">
                  <c:v>Jan</c:v>
                </c:pt>
                <c:pt idx="21">
                  <c:v>Apr</c:v>
                </c:pt>
                <c:pt idx="24">
                  <c:v>Jul</c:v>
                </c:pt>
                <c:pt idx="27">
                  <c:v>Oct</c:v>
                </c:pt>
                <c:pt idx="32">
                  <c:v>Jan</c:v>
                </c:pt>
                <c:pt idx="35">
                  <c:v>Apr</c:v>
                </c:pt>
                <c:pt idx="38">
                  <c:v>Jul</c:v>
                </c:pt>
                <c:pt idx="41">
                  <c:v>Oct</c:v>
                </c:pt>
                <c:pt idx="46">
                  <c:v>Jan</c:v>
                </c:pt>
                <c:pt idx="49">
                  <c:v>Apr</c:v>
                </c:pt>
                <c:pt idx="52">
                  <c:v>Jul</c:v>
                </c:pt>
                <c:pt idx="55">
                  <c:v>Oct</c:v>
                </c:pt>
                <c:pt idx="60">
                  <c:v>Jan</c:v>
                </c:pt>
                <c:pt idx="63">
                  <c:v>Apr</c:v>
                </c:pt>
                <c:pt idx="66">
                  <c:v>Jul</c:v>
                </c:pt>
                <c:pt idx="69">
                  <c:v>Oct</c:v>
                </c:pt>
              </c:strCache>
            </c:strRef>
          </c:cat>
          <c:val>
            <c:numRef>
              <c:f>Area!$AA$24:$AA$95</c:f>
              <c:numCache>
                <c:formatCode>General</c:formatCode>
                <c:ptCount val="72"/>
                <c:pt idx="0">
                  <c:v>0.21866666666666665</c:v>
                </c:pt>
                <c:pt idx="1">
                  <c:v>0.21866666666666665</c:v>
                </c:pt>
                <c:pt idx="2">
                  <c:v>0.21866666666666665</c:v>
                </c:pt>
                <c:pt idx="3">
                  <c:v>0.21866666666666665</c:v>
                </c:pt>
                <c:pt idx="4">
                  <c:v>0.21866666666666665</c:v>
                </c:pt>
                <c:pt idx="5">
                  <c:v>0.25693333333333335</c:v>
                </c:pt>
                <c:pt idx="6">
                  <c:v>0.19679999999999997</c:v>
                </c:pt>
                <c:pt idx="7">
                  <c:v>0.23506666666666667</c:v>
                </c:pt>
                <c:pt idx="8">
                  <c:v>0.27333333333333332</c:v>
                </c:pt>
                <c:pt idx="9">
                  <c:v>0.2132</c:v>
                </c:pt>
                <c:pt idx="10">
                  <c:v>0.25146666666666662</c:v>
                </c:pt>
                <c:pt idx="11">
                  <c:v>0.28973333333333334</c:v>
                </c:pt>
                <c:pt idx="12">
                  <c:v>0.2296</c:v>
                </c:pt>
                <c:pt idx="13">
                  <c:v>0.26786666666666664</c:v>
                </c:pt>
                <c:pt idx="14">
                  <c:v>0.30613333333333331</c:v>
                </c:pt>
                <c:pt idx="15">
                  <c:v>0.24599999999999997</c:v>
                </c:pt>
                <c:pt idx="16">
                  <c:v>0.24599999999999997</c:v>
                </c:pt>
                <c:pt idx="17">
                  <c:v>0.46193333333333331</c:v>
                </c:pt>
                <c:pt idx="18">
                  <c:v>0.46193333333333331</c:v>
                </c:pt>
                <c:pt idx="19">
                  <c:v>0.40704799999999997</c:v>
                </c:pt>
                <c:pt idx="20">
                  <c:v>0.45056266666666661</c:v>
                </c:pt>
                <c:pt idx="21">
                  <c:v>0.49413200000000002</c:v>
                </c:pt>
                <c:pt idx="22">
                  <c:v>0.43924666666666662</c:v>
                </c:pt>
                <c:pt idx="23">
                  <c:v>0.48276133333333332</c:v>
                </c:pt>
                <c:pt idx="24">
                  <c:v>0.52627599999999997</c:v>
                </c:pt>
                <c:pt idx="25">
                  <c:v>0.47144533333333327</c:v>
                </c:pt>
                <c:pt idx="26">
                  <c:v>0.51495999999999997</c:v>
                </c:pt>
                <c:pt idx="27">
                  <c:v>0.55847466666666667</c:v>
                </c:pt>
                <c:pt idx="28">
                  <c:v>0.50358933333333333</c:v>
                </c:pt>
                <c:pt idx="29">
                  <c:v>0.54715866666666668</c:v>
                </c:pt>
                <c:pt idx="30">
                  <c:v>0.54715866666666668</c:v>
                </c:pt>
                <c:pt idx="31">
                  <c:v>0.27606666666666663</c:v>
                </c:pt>
                <c:pt idx="32">
                  <c:v>0.27606666666666663</c:v>
                </c:pt>
                <c:pt idx="33">
                  <c:v>0.31657466666666667</c:v>
                </c:pt>
                <c:pt idx="34">
                  <c:v>0.35708266666666671</c:v>
                </c:pt>
                <c:pt idx="35">
                  <c:v>0.29924533333333331</c:v>
                </c:pt>
                <c:pt idx="36">
                  <c:v>0.3397533333333333</c:v>
                </c:pt>
                <c:pt idx="37">
                  <c:v>0.38026133333333328</c:v>
                </c:pt>
                <c:pt idx="38">
                  <c:v>0.32242399999999999</c:v>
                </c:pt>
                <c:pt idx="39">
                  <c:v>0.36293199999999998</c:v>
                </c:pt>
                <c:pt idx="40">
                  <c:v>0.40343999999999997</c:v>
                </c:pt>
                <c:pt idx="41">
                  <c:v>0.34554799999999997</c:v>
                </c:pt>
                <c:pt idx="42">
                  <c:v>0.38605600000000001</c:v>
                </c:pt>
                <c:pt idx="43">
                  <c:v>0.42661866666666665</c:v>
                </c:pt>
                <c:pt idx="44">
                  <c:v>0.42661866666666665</c:v>
                </c:pt>
                <c:pt idx="45">
                  <c:v>0.51933333333333331</c:v>
                </c:pt>
                <c:pt idx="46">
                  <c:v>0.51933333333333331</c:v>
                </c:pt>
                <c:pt idx="47">
                  <c:v>0.56514399999999987</c:v>
                </c:pt>
                <c:pt idx="48">
                  <c:v>0.51249999999999996</c:v>
                </c:pt>
                <c:pt idx="49">
                  <c:v>0.55825599999999997</c:v>
                </c:pt>
                <c:pt idx="50">
                  <c:v>0.60406666666666664</c:v>
                </c:pt>
                <c:pt idx="51">
                  <c:v>0.55147733333333326</c:v>
                </c:pt>
                <c:pt idx="52">
                  <c:v>0.59723333333333339</c:v>
                </c:pt>
                <c:pt idx="53">
                  <c:v>0.6429893333333333</c:v>
                </c:pt>
                <c:pt idx="54">
                  <c:v>0.59039999999999992</c:v>
                </c:pt>
                <c:pt idx="55">
                  <c:v>0.63621066666666659</c:v>
                </c:pt>
                <c:pt idx="56">
                  <c:v>0.68196666666666661</c:v>
                </c:pt>
                <c:pt idx="57">
                  <c:v>0.6293226666666667</c:v>
                </c:pt>
                <c:pt idx="58">
                  <c:v>0.6293226666666667</c:v>
                </c:pt>
                <c:pt idx="59">
                  <c:v>0.43186666666666662</c:v>
                </c:pt>
                <c:pt idx="60">
                  <c:v>0.43186666666666662</c:v>
                </c:pt>
                <c:pt idx="61">
                  <c:v>0.37621599999999999</c:v>
                </c:pt>
                <c:pt idx="62">
                  <c:v>0.41902</c:v>
                </c:pt>
                <c:pt idx="63">
                  <c:v>0.4618239999999999</c:v>
                </c:pt>
                <c:pt idx="64">
                  <c:v>0.40617333333333333</c:v>
                </c:pt>
                <c:pt idx="65">
                  <c:v>0.44892266666666664</c:v>
                </c:pt>
                <c:pt idx="66">
                  <c:v>0.49172666666666665</c:v>
                </c:pt>
                <c:pt idx="67">
                  <c:v>0.43613066666666661</c:v>
                </c:pt>
                <c:pt idx="68">
                  <c:v>0.47887999999999992</c:v>
                </c:pt>
                <c:pt idx="69">
                  <c:v>0.52168399999999993</c:v>
                </c:pt>
                <c:pt idx="70">
                  <c:v>0.4660333333333333</c:v>
                </c:pt>
                <c:pt idx="71">
                  <c:v>0.50878266666666672</c:v>
                </c:pt>
              </c:numCache>
            </c:numRef>
          </c:val>
          <c:extLst>
            <c:ext xmlns:c16="http://schemas.microsoft.com/office/drawing/2014/chart" uri="{C3380CC4-5D6E-409C-BE32-E72D297353CC}">
              <c16:uniqueId val="{00000002-2FCC-4A3F-9A92-3340BC47D276}"/>
            </c:ext>
          </c:extLst>
        </c:ser>
        <c:ser>
          <c:idx val="2"/>
          <c:order val="2"/>
          <c:tx>
            <c:v> </c:v>
          </c:tx>
          <c:spPr>
            <a:noFill/>
            <a:ln w="25400">
              <a:noFill/>
            </a:ln>
            <a:extLst>
              <a:ext uri="{909E8E84-426E-40DD-AFC4-6F175D3DCCD1}">
                <a14:hiddenFill xmlns:a14="http://schemas.microsoft.com/office/drawing/2010/main">
                  <a:solidFill>
                    <a:srgbClr val="196B24"/>
                  </a:solidFill>
                </a14:hiddenFill>
              </a:ext>
            </a:extLst>
          </c:spPr>
          <c:cat>
            <c:strRef>
              <c:f>Area!$Y$24:$Y$95</c:f>
              <c:strCache>
                <c:ptCount val="70"/>
                <c:pt idx="4">
                  <c:v>Jan</c:v>
                </c:pt>
                <c:pt idx="7">
                  <c:v>Apr</c:v>
                </c:pt>
                <c:pt idx="10">
                  <c:v>Jul</c:v>
                </c:pt>
                <c:pt idx="13">
                  <c:v>Oct</c:v>
                </c:pt>
                <c:pt idx="18">
                  <c:v>Jan</c:v>
                </c:pt>
                <c:pt idx="21">
                  <c:v>Apr</c:v>
                </c:pt>
                <c:pt idx="24">
                  <c:v>Jul</c:v>
                </c:pt>
                <c:pt idx="27">
                  <c:v>Oct</c:v>
                </c:pt>
                <c:pt idx="32">
                  <c:v>Jan</c:v>
                </c:pt>
                <c:pt idx="35">
                  <c:v>Apr</c:v>
                </c:pt>
                <c:pt idx="38">
                  <c:v>Jul</c:v>
                </c:pt>
                <c:pt idx="41">
                  <c:v>Oct</c:v>
                </c:pt>
                <c:pt idx="46">
                  <c:v>Jan</c:v>
                </c:pt>
                <c:pt idx="49">
                  <c:v>Apr</c:v>
                </c:pt>
                <c:pt idx="52">
                  <c:v>Jul</c:v>
                </c:pt>
                <c:pt idx="55">
                  <c:v>Oct</c:v>
                </c:pt>
                <c:pt idx="60">
                  <c:v>Jan</c:v>
                </c:pt>
                <c:pt idx="63">
                  <c:v>Apr</c:v>
                </c:pt>
                <c:pt idx="66">
                  <c:v>Jul</c:v>
                </c:pt>
                <c:pt idx="69">
                  <c:v>Oct</c:v>
                </c:pt>
              </c:strCache>
            </c:strRef>
          </c:cat>
          <c:val>
            <c:numRef>
              <c:f>Area!$AB$24:$AB$95</c:f>
              <c:numCache>
                <c:formatCode>#,##0.000</c:formatCode>
                <c:ptCount val="72"/>
                <c:pt idx="0">
                  <c:v>0.78133333333333332</c:v>
                </c:pt>
                <c:pt idx="1">
                  <c:v>0.78133333333333332</c:v>
                </c:pt>
                <c:pt idx="2">
                  <c:v>0.78133333333333332</c:v>
                </c:pt>
                <c:pt idx="3">
                  <c:v>0.78133333333333332</c:v>
                </c:pt>
                <c:pt idx="4">
                  <c:v>0.78133333333333332</c:v>
                </c:pt>
                <c:pt idx="5">
                  <c:v>0.74306666666666665</c:v>
                </c:pt>
                <c:pt idx="6">
                  <c:v>0.80320000000000003</c:v>
                </c:pt>
                <c:pt idx="7">
                  <c:v>0.76493333333333335</c:v>
                </c:pt>
                <c:pt idx="8">
                  <c:v>0.72666666666666668</c:v>
                </c:pt>
                <c:pt idx="9">
                  <c:v>0.78679999999999994</c:v>
                </c:pt>
                <c:pt idx="10">
                  <c:v>0.74853333333333338</c:v>
                </c:pt>
                <c:pt idx="11">
                  <c:v>0.7102666666666666</c:v>
                </c:pt>
                <c:pt idx="12">
                  <c:v>0.77039999999999997</c:v>
                </c:pt>
                <c:pt idx="13">
                  <c:v>0.7321333333333333</c:v>
                </c:pt>
                <c:pt idx="14">
                  <c:v>0.69386666666666663</c:v>
                </c:pt>
                <c:pt idx="15">
                  <c:v>0.754</c:v>
                </c:pt>
                <c:pt idx="16">
                  <c:v>0.754</c:v>
                </c:pt>
                <c:pt idx="17">
                  <c:v>0.53806666666666669</c:v>
                </c:pt>
                <c:pt idx="18">
                  <c:v>0.53806666666666669</c:v>
                </c:pt>
                <c:pt idx="19">
                  <c:v>0.59295200000000003</c:v>
                </c:pt>
                <c:pt idx="20">
                  <c:v>0.54943733333333333</c:v>
                </c:pt>
                <c:pt idx="21">
                  <c:v>0.50586799999999998</c:v>
                </c:pt>
                <c:pt idx="22">
                  <c:v>0.56075333333333344</c:v>
                </c:pt>
                <c:pt idx="23">
                  <c:v>0.51723866666666662</c:v>
                </c:pt>
                <c:pt idx="24">
                  <c:v>0.47372400000000003</c:v>
                </c:pt>
                <c:pt idx="25">
                  <c:v>0.52855466666666673</c:v>
                </c:pt>
                <c:pt idx="26">
                  <c:v>0.48504000000000003</c:v>
                </c:pt>
                <c:pt idx="27">
                  <c:v>0.44152533333333333</c:v>
                </c:pt>
                <c:pt idx="28">
                  <c:v>0.49641066666666667</c:v>
                </c:pt>
                <c:pt idx="29">
                  <c:v>0.45284133333333332</c:v>
                </c:pt>
                <c:pt idx="30">
                  <c:v>0.45284133333333332</c:v>
                </c:pt>
                <c:pt idx="31">
                  <c:v>0.72393333333333332</c:v>
                </c:pt>
                <c:pt idx="32">
                  <c:v>0.72393333333333332</c:v>
                </c:pt>
                <c:pt idx="33">
                  <c:v>0.68342533333333333</c:v>
                </c:pt>
                <c:pt idx="34">
                  <c:v>0.64291733333333334</c:v>
                </c:pt>
                <c:pt idx="35">
                  <c:v>0.70075466666666664</c:v>
                </c:pt>
                <c:pt idx="36">
                  <c:v>0.66024666666666665</c:v>
                </c:pt>
                <c:pt idx="37">
                  <c:v>0.61973866666666666</c:v>
                </c:pt>
                <c:pt idx="38">
                  <c:v>0.67757599999999996</c:v>
                </c:pt>
                <c:pt idx="39">
                  <c:v>0.63706799999999997</c:v>
                </c:pt>
                <c:pt idx="40">
                  <c:v>0.59655999999999998</c:v>
                </c:pt>
                <c:pt idx="41">
                  <c:v>0.65445200000000003</c:v>
                </c:pt>
                <c:pt idx="42">
                  <c:v>0.61394400000000005</c:v>
                </c:pt>
                <c:pt idx="43">
                  <c:v>0.5733813333333333</c:v>
                </c:pt>
                <c:pt idx="44">
                  <c:v>0.5733813333333333</c:v>
                </c:pt>
                <c:pt idx="45">
                  <c:v>0.48066666666666669</c:v>
                </c:pt>
                <c:pt idx="46">
                  <c:v>0.48066666666666669</c:v>
                </c:pt>
                <c:pt idx="47">
                  <c:v>0.43485600000000013</c:v>
                </c:pt>
                <c:pt idx="48">
                  <c:v>0.48750000000000004</c:v>
                </c:pt>
                <c:pt idx="49">
                  <c:v>0.44174400000000003</c:v>
                </c:pt>
                <c:pt idx="50">
                  <c:v>0.39593333333333336</c:v>
                </c:pt>
                <c:pt idx="51">
                  <c:v>0.44852266666666674</c:v>
                </c:pt>
                <c:pt idx="52">
                  <c:v>0.40276666666666661</c:v>
                </c:pt>
                <c:pt idx="53">
                  <c:v>0.3570106666666667</c:v>
                </c:pt>
                <c:pt idx="54">
                  <c:v>0.40960000000000008</c:v>
                </c:pt>
                <c:pt idx="55">
                  <c:v>0.36378933333333341</c:v>
                </c:pt>
                <c:pt idx="56">
                  <c:v>0.31803333333333339</c:v>
                </c:pt>
                <c:pt idx="57">
                  <c:v>0.3706773333333333</c:v>
                </c:pt>
                <c:pt idx="58">
                  <c:v>0.3706773333333333</c:v>
                </c:pt>
                <c:pt idx="59">
                  <c:v>0.56813333333333338</c:v>
                </c:pt>
                <c:pt idx="60">
                  <c:v>0.56813333333333338</c:v>
                </c:pt>
                <c:pt idx="61">
                  <c:v>0.62378400000000001</c:v>
                </c:pt>
                <c:pt idx="62">
                  <c:v>0.58098000000000005</c:v>
                </c:pt>
                <c:pt idx="63">
                  <c:v>0.5381760000000001</c:v>
                </c:pt>
                <c:pt idx="64">
                  <c:v>0.59382666666666672</c:v>
                </c:pt>
                <c:pt idx="65">
                  <c:v>0.55107733333333342</c:v>
                </c:pt>
                <c:pt idx="66">
                  <c:v>0.50827333333333335</c:v>
                </c:pt>
                <c:pt idx="67">
                  <c:v>0.56386933333333333</c:v>
                </c:pt>
                <c:pt idx="68">
                  <c:v>0.52112000000000003</c:v>
                </c:pt>
                <c:pt idx="69">
                  <c:v>0.47831600000000007</c:v>
                </c:pt>
                <c:pt idx="70">
                  <c:v>0.5339666666666667</c:v>
                </c:pt>
                <c:pt idx="71">
                  <c:v>0.49121733333333328</c:v>
                </c:pt>
              </c:numCache>
            </c:numRef>
          </c:val>
          <c:extLst>
            <c:ext xmlns:c16="http://schemas.microsoft.com/office/drawing/2014/chart" uri="{C3380CC4-5D6E-409C-BE32-E72D297353CC}">
              <c16:uniqueId val="{00000003-2FCC-4A3F-9A92-3340BC47D276}"/>
            </c:ext>
          </c:extLst>
        </c:ser>
        <c:ser>
          <c:idx val="3"/>
          <c:order val="3"/>
          <c:tx>
            <c:v>Revenue</c:v>
          </c:tx>
          <c:spPr>
            <a:solidFill>
              <a:srgbClr val="1F4E79"/>
            </a:solidFill>
            <a:ln w="25400">
              <a:noFill/>
            </a:ln>
          </c:spPr>
          <c:cat>
            <c:strRef>
              <c:f>Area!$Y$24:$Y$95</c:f>
              <c:strCache>
                <c:ptCount val="70"/>
                <c:pt idx="4">
                  <c:v>Jan</c:v>
                </c:pt>
                <c:pt idx="7">
                  <c:v>Apr</c:v>
                </c:pt>
                <c:pt idx="10">
                  <c:v>Jul</c:v>
                </c:pt>
                <c:pt idx="13">
                  <c:v>Oct</c:v>
                </c:pt>
                <c:pt idx="18">
                  <c:v>Jan</c:v>
                </c:pt>
                <c:pt idx="21">
                  <c:v>Apr</c:v>
                </c:pt>
                <c:pt idx="24">
                  <c:v>Jul</c:v>
                </c:pt>
                <c:pt idx="27">
                  <c:v>Oct</c:v>
                </c:pt>
                <c:pt idx="32">
                  <c:v>Jan</c:v>
                </c:pt>
                <c:pt idx="35">
                  <c:v>Apr</c:v>
                </c:pt>
                <c:pt idx="38">
                  <c:v>Jul</c:v>
                </c:pt>
                <c:pt idx="41">
                  <c:v>Oct</c:v>
                </c:pt>
                <c:pt idx="46">
                  <c:v>Jan</c:v>
                </c:pt>
                <c:pt idx="49">
                  <c:v>Apr</c:v>
                </c:pt>
                <c:pt idx="52">
                  <c:v>Jul</c:v>
                </c:pt>
                <c:pt idx="55">
                  <c:v>Oct</c:v>
                </c:pt>
                <c:pt idx="60">
                  <c:v>Jan</c:v>
                </c:pt>
                <c:pt idx="63">
                  <c:v>Apr</c:v>
                </c:pt>
                <c:pt idx="66">
                  <c:v>Jul</c:v>
                </c:pt>
                <c:pt idx="69">
                  <c:v>Oct</c:v>
                </c:pt>
              </c:strCache>
            </c:strRef>
          </c:cat>
          <c:val>
            <c:numRef>
              <c:f>Area!$AC$24:$AC$95</c:f>
              <c:numCache>
                <c:formatCode>General</c:formatCode>
                <c:ptCount val="72"/>
                <c:pt idx="0">
                  <c:v>0.52206666666666668</c:v>
                </c:pt>
                <c:pt idx="1">
                  <c:v>0.52206666666666668</c:v>
                </c:pt>
                <c:pt idx="2">
                  <c:v>0.52206666666666668</c:v>
                </c:pt>
                <c:pt idx="3">
                  <c:v>0.52206666666666668</c:v>
                </c:pt>
                <c:pt idx="4">
                  <c:v>0.52206666666666668</c:v>
                </c:pt>
                <c:pt idx="5">
                  <c:v>0.46871199999999996</c:v>
                </c:pt>
                <c:pt idx="6">
                  <c:v>0.51375733333333329</c:v>
                </c:pt>
                <c:pt idx="7">
                  <c:v>0.55874800000000002</c:v>
                </c:pt>
                <c:pt idx="8">
                  <c:v>0.50539333333333325</c:v>
                </c:pt>
                <c:pt idx="9">
                  <c:v>0.55043866666666663</c:v>
                </c:pt>
                <c:pt idx="10">
                  <c:v>0.59542933333333337</c:v>
                </c:pt>
                <c:pt idx="11">
                  <c:v>0.5420746666666667</c:v>
                </c:pt>
                <c:pt idx="12">
                  <c:v>0.58711999999999998</c:v>
                </c:pt>
                <c:pt idx="13">
                  <c:v>0.63216533333333336</c:v>
                </c:pt>
                <c:pt idx="14">
                  <c:v>0.57881066666666658</c:v>
                </c:pt>
                <c:pt idx="15">
                  <c:v>0.62380133333333321</c:v>
                </c:pt>
                <c:pt idx="16">
                  <c:v>0.62380133333333321</c:v>
                </c:pt>
                <c:pt idx="17">
                  <c:v>0.33619999999999994</c:v>
                </c:pt>
                <c:pt idx="18">
                  <c:v>0.33619999999999994</c:v>
                </c:pt>
                <c:pt idx="19">
                  <c:v>0.37823866666666661</c:v>
                </c:pt>
                <c:pt idx="20">
                  <c:v>0.42027733333333328</c:v>
                </c:pt>
                <c:pt idx="21">
                  <c:v>0.36386133333333331</c:v>
                </c:pt>
                <c:pt idx="22">
                  <c:v>0.40589999999999998</c:v>
                </c:pt>
                <c:pt idx="23">
                  <c:v>0.44793866666666665</c:v>
                </c:pt>
                <c:pt idx="24">
                  <c:v>0.39152266666666669</c:v>
                </c:pt>
                <c:pt idx="25">
                  <c:v>0.43356133333333335</c:v>
                </c:pt>
                <c:pt idx="26">
                  <c:v>0.47559999999999991</c:v>
                </c:pt>
                <c:pt idx="27">
                  <c:v>0.41923866666666665</c:v>
                </c:pt>
                <c:pt idx="28">
                  <c:v>0.46127733333333332</c:v>
                </c:pt>
                <c:pt idx="29">
                  <c:v>0.50326133333333334</c:v>
                </c:pt>
                <c:pt idx="30">
                  <c:v>0.50326133333333334</c:v>
                </c:pt>
                <c:pt idx="31">
                  <c:v>0.24873333333333333</c:v>
                </c:pt>
                <c:pt idx="32">
                  <c:v>0.24873333333333333</c:v>
                </c:pt>
                <c:pt idx="33">
                  <c:v>0.28776533333333332</c:v>
                </c:pt>
                <c:pt idx="34">
                  <c:v>0.22839733333333334</c:v>
                </c:pt>
                <c:pt idx="35">
                  <c:v>0.26737466666666665</c:v>
                </c:pt>
                <c:pt idx="36">
                  <c:v>0.30640666666666661</c:v>
                </c:pt>
                <c:pt idx="37">
                  <c:v>0.24703866666666663</c:v>
                </c:pt>
                <c:pt idx="38">
                  <c:v>0.28601600000000005</c:v>
                </c:pt>
                <c:pt idx="39">
                  <c:v>0.325048</c:v>
                </c:pt>
                <c:pt idx="40">
                  <c:v>0.26567999999999997</c:v>
                </c:pt>
                <c:pt idx="41">
                  <c:v>0.30471199999999998</c:v>
                </c:pt>
                <c:pt idx="42">
                  <c:v>0.34374399999999994</c:v>
                </c:pt>
                <c:pt idx="43">
                  <c:v>0.28432133333333331</c:v>
                </c:pt>
                <c:pt idx="44">
                  <c:v>0.28432133333333331</c:v>
                </c:pt>
                <c:pt idx="45">
                  <c:v>0.49199999999999994</c:v>
                </c:pt>
                <c:pt idx="46">
                  <c:v>0.49199999999999994</c:v>
                </c:pt>
                <c:pt idx="47">
                  <c:v>0.43787999999999999</c:v>
                </c:pt>
                <c:pt idx="48">
                  <c:v>0.48215999999999992</c:v>
                </c:pt>
                <c:pt idx="49">
                  <c:v>0.52644000000000002</c:v>
                </c:pt>
                <c:pt idx="50">
                  <c:v>0.47231999999999996</c:v>
                </c:pt>
                <c:pt idx="51">
                  <c:v>0.51659999999999995</c:v>
                </c:pt>
                <c:pt idx="52">
                  <c:v>0.56088000000000005</c:v>
                </c:pt>
                <c:pt idx="53">
                  <c:v>0.50675999999999999</c:v>
                </c:pt>
                <c:pt idx="54">
                  <c:v>0.55103999999999997</c:v>
                </c:pt>
                <c:pt idx="55">
                  <c:v>0.59531999999999996</c:v>
                </c:pt>
                <c:pt idx="56">
                  <c:v>0.54120000000000001</c:v>
                </c:pt>
                <c:pt idx="57">
                  <c:v>0.58547999999999989</c:v>
                </c:pt>
                <c:pt idx="58">
                  <c:v>0.58547999999999989</c:v>
                </c:pt>
                <c:pt idx="59">
                  <c:v>0.30613333333333331</c:v>
                </c:pt>
                <c:pt idx="60">
                  <c:v>0.30613333333333331</c:v>
                </c:pt>
                <c:pt idx="61">
                  <c:v>0.34740666666666664</c:v>
                </c:pt>
                <c:pt idx="62">
                  <c:v>0.38867999999999997</c:v>
                </c:pt>
                <c:pt idx="63">
                  <c:v>0.33155333333333331</c:v>
                </c:pt>
                <c:pt idx="64">
                  <c:v>0.37282666666666664</c:v>
                </c:pt>
                <c:pt idx="65">
                  <c:v>0.41409999999999997</c:v>
                </c:pt>
                <c:pt idx="66">
                  <c:v>0.35697333333333331</c:v>
                </c:pt>
                <c:pt idx="67">
                  <c:v>0.39824666666666664</c:v>
                </c:pt>
                <c:pt idx="68">
                  <c:v>0.43952000000000002</c:v>
                </c:pt>
                <c:pt idx="69">
                  <c:v>0.38239333333333331</c:v>
                </c:pt>
                <c:pt idx="70">
                  <c:v>0.42366666666666669</c:v>
                </c:pt>
                <c:pt idx="71">
                  <c:v>0.46493999999999991</c:v>
                </c:pt>
              </c:numCache>
            </c:numRef>
          </c:val>
          <c:extLst>
            <c:ext xmlns:c16="http://schemas.microsoft.com/office/drawing/2014/chart" uri="{C3380CC4-5D6E-409C-BE32-E72D297353CC}">
              <c16:uniqueId val="{00000004-2FCC-4A3F-9A92-3340BC47D276}"/>
            </c:ext>
          </c:extLst>
        </c:ser>
        <c:ser>
          <c:idx val="4"/>
          <c:order val="4"/>
          <c:tx>
            <c:v> </c:v>
          </c:tx>
          <c:spPr>
            <a:noFill/>
            <a:ln w="25400">
              <a:noFill/>
            </a:ln>
            <a:extLst>
              <a:ext uri="{909E8E84-426E-40DD-AFC4-6F175D3DCCD1}">
                <a14:hiddenFill xmlns:a14="http://schemas.microsoft.com/office/drawing/2010/main">
                  <a:solidFill>
                    <a:srgbClr val="A02B93"/>
                  </a:solidFill>
                </a14:hiddenFill>
              </a:ext>
            </a:extLst>
          </c:spPr>
          <c:cat>
            <c:strRef>
              <c:f>Area!$Y$24:$Y$95</c:f>
              <c:strCache>
                <c:ptCount val="70"/>
                <c:pt idx="4">
                  <c:v>Jan</c:v>
                </c:pt>
                <c:pt idx="7">
                  <c:v>Apr</c:v>
                </c:pt>
                <c:pt idx="10">
                  <c:v>Jul</c:v>
                </c:pt>
                <c:pt idx="13">
                  <c:v>Oct</c:v>
                </c:pt>
                <c:pt idx="18">
                  <c:v>Jan</c:v>
                </c:pt>
                <c:pt idx="21">
                  <c:v>Apr</c:v>
                </c:pt>
                <c:pt idx="24">
                  <c:v>Jul</c:v>
                </c:pt>
                <c:pt idx="27">
                  <c:v>Oct</c:v>
                </c:pt>
                <c:pt idx="32">
                  <c:v>Jan</c:v>
                </c:pt>
                <c:pt idx="35">
                  <c:v>Apr</c:v>
                </c:pt>
                <c:pt idx="38">
                  <c:v>Jul</c:v>
                </c:pt>
                <c:pt idx="41">
                  <c:v>Oct</c:v>
                </c:pt>
                <c:pt idx="46">
                  <c:v>Jan</c:v>
                </c:pt>
                <c:pt idx="49">
                  <c:v>Apr</c:v>
                </c:pt>
                <c:pt idx="52">
                  <c:v>Jul</c:v>
                </c:pt>
                <c:pt idx="55">
                  <c:v>Oct</c:v>
                </c:pt>
                <c:pt idx="60">
                  <c:v>Jan</c:v>
                </c:pt>
                <c:pt idx="63">
                  <c:v>Apr</c:v>
                </c:pt>
                <c:pt idx="66">
                  <c:v>Jul</c:v>
                </c:pt>
                <c:pt idx="69">
                  <c:v>Oct</c:v>
                </c:pt>
              </c:strCache>
            </c:strRef>
          </c:cat>
          <c:val>
            <c:numRef>
              <c:f>Area!$AD$24:$AD$95</c:f>
              <c:numCache>
                <c:formatCode>#,##0.000</c:formatCode>
                <c:ptCount val="72"/>
                <c:pt idx="0">
                  <c:v>0.47793333333333332</c:v>
                </c:pt>
                <c:pt idx="1">
                  <c:v>0.47793333333333332</c:v>
                </c:pt>
                <c:pt idx="2">
                  <c:v>0.47793333333333332</c:v>
                </c:pt>
                <c:pt idx="3">
                  <c:v>0.47793333333333332</c:v>
                </c:pt>
                <c:pt idx="4">
                  <c:v>0.47793333333333332</c:v>
                </c:pt>
                <c:pt idx="5">
                  <c:v>0.53128799999999998</c:v>
                </c:pt>
                <c:pt idx="6">
                  <c:v>0.4862426666666666</c:v>
                </c:pt>
                <c:pt idx="7">
                  <c:v>0.44125199999999998</c:v>
                </c:pt>
                <c:pt idx="8">
                  <c:v>0.49460666666666686</c:v>
                </c:pt>
                <c:pt idx="9">
                  <c:v>0.44956133333333348</c:v>
                </c:pt>
                <c:pt idx="10">
                  <c:v>0.40457066666666663</c:v>
                </c:pt>
                <c:pt idx="11">
                  <c:v>0.4579253333333333</c:v>
                </c:pt>
                <c:pt idx="12">
                  <c:v>0.41287999999999991</c:v>
                </c:pt>
                <c:pt idx="13">
                  <c:v>0.36783466666666653</c:v>
                </c:pt>
                <c:pt idx="14">
                  <c:v>0.42118933333333342</c:v>
                </c:pt>
                <c:pt idx="15">
                  <c:v>0.37619866666666679</c:v>
                </c:pt>
                <c:pt idx="16">
                  <c:v>0.37619866666666679</c:v>
                </c:pt>
                <c:pt idx="17">
                  <c:v>0.66380000000000017</c:v>
                </c:pt>
                <c:pt idx="18">
                  <c:v>0.66380000000000017</c:v>
                </c:pt>
                <c:pt idx="19">
                  <c:v>0.62176133333333339</c:v>
                </c:pt>
                <c:pt idx="20">
                  <c:v>0.57972266666666661</c:v>
                </c:pt>
                <c:pt idx="21">
                  <c:v>0.63613866666666663</c:v>
                </c:pt>
                <c:pt idx="22">
                  <c:v>0.59410000000000007</c:v>
                </c:pt>
                <c:pt idx="23">
                  <c:v>0.55206133333333329</c:v>
                </c:pt>
                <c:pt idx="24">
                  <c:v>0.60847733333333331</c:v>
                </c:pt>
                <c:pt idx="25">
                  <c:v>0.56643866666666653</c:v>
                </c:pt>
                <c:pt idx="26">
                  <c:v>0.52439999999999998</c:v>
                </c:pt>
                <c:pt idx="27">
                  <c:v>0.58076133333333324</c:v>
                </c:pt>
                <c:pt idx="28">
                  <c:v>0.53872266666666668</c:v>
                </c:pt>
                <c:pt idx="29">
                  <c:v>0.49673866666666666</c:v>
                </c:pt>
                <c:pt idx="30">
                  <c:v>0.49673866666666666</c:v>
                </c:pt>
                <c:pt idx="31">
                  <c:v>0.75126666666666675</c:v>
                </c:pt>
                <c:pt idx="32">
                  <c:v>0.75126666666666675</c:v>
                </c:pt>
                <c:pt idx="33">
                  <c:v>0.71223466666666679</c:v>
                </c:pt>
                <c:pt idx="34">
                  <c:v>0.77160266666666666</c:v>
                </c:pt>
                <c:pt idx="35">
                  <c:v>0.73262533333333346</c:v>
                </c:pt>
                <c:pt idx="36">
                  <c:v>0.69359333333333328</c:v>
                </c:pt>
                <c:pt idx="37">
                  <c:v>0.75296133333333337</c:v>
                </c:pt>
                <c:pt idx="38">
                  <c:v>0.71398399999999995</c:v>
                </c:pt>
                <c:pt idx="39">
                  <c:v>0.674952</c:v>
                </c:pt>
                <c:pt idx="40">
                  <c:v>0.73432000000000008</c:v>
                </c:pt>
                <c:pt idx="41">
                  <c:v>0.69528800000000013</c:v>
                </c:pt>
                <c:pt idx="42">
                  <c:v>0.65625599999999995</c:v>
                </c:pt>
                <c:pt idx="43">
                  <c:v>0.7156786666666668</c:v>
                </c:pt>
                <c:pt idx="44">
                  <c:v>0.7156786666666668</c:v>
                </c:pt>
                <c:pt idx="45">
                  <c:v>0.50800000000000001</c:v>
                </c:pt>
                <c:pt idx="46">
                  <c:v>0.50800000000000001</c:v>
                </c:pt>
                <c:pt idx="47">
                  <c:v>0.56211999999999995</c:v>
                </c:pt>
                <c:pt idx="48">
                  <c:v>0.51784000000000008</c:v>
                </c:pt>
                <c:pt idx="49">
                  <c:v>0.47355999999999998</c:v>
                </c:pt>
                <c:pt idx="50">
                  <c:v>0.52768000000000015</c:v>
                </c:pt>
                <c:pt idx="51">
                  <c:v>0.48340000000000005</c:v>
                </c:pt>
                <c:pt idx="52">
                  <c:v>0.43911999999999995</c:v>
                </c:pt>
                <c:pt idx="53">
                  <c:v>0.49324000000000012</c:v>
                </c:pt>
                <c:pt idx="54">
                  <c:v>0.44896000000000003</c:v>
                </c:pt>
                <c:pt idx="55">
                  <c:v>0.40467999999999993</c:v>
                </c:pt>
                <c:pt idx="56">
                  <c:v>0.4588000000000001</c:v>
                </c:pt>
                <c:pt idx="57">
                  <c:v>0.41452</c:v>
                </c:pt>
                <c:pt idx="58">
                  <c:v>0.41452</c:v>
                </c:pt>
                <c:pt idx="59">
                  <c:v>0.69386666666666663</c:v>
                </c:pt>
                <c:pt idx="60">
                  <c:v>0.69386666666666663</c:v>
                </c:pt>
                <c:pt idx="61">
                  <c:v>0.65259333333333336</c:v>
                </c:pt>
                <c:pt idx="62">
                  <c:v>0.61132000000000009</c:v>
                </c:pt>
                <c:pt idx="63">
                  <c:v>0.66844666666666663</c:v>
                </c:pt>
                <c:pt idx="64">
                  <c:v>0.62717333333333336</c:v>
                </c:pt>
                <c:pt idx="65">
                  <c:v>0.58590000000000009</c:v>
                </c:pt>
                <c:pt idx="66">
                  <c:v>0.64302666666666664</c:v>
                </c:pt>
                <c:pt idx="67">
                  <c:v>0.60175333333333336</c:v>
                </c:pt>
                <c:pt idx="68">
                  <c:v>0.56048000000000009</c:v>
                </c:pt>
                <c:pt idx="69">
                  <c:v>0.61760666666666664</c:v>
                </c:pt>
                <c:pt idx="70">
                  <c:v>0.57633333333333336</c:v>
                </c:pt>
                <c:pt idx="71">
                  <c:v>0.53506000000000009</c:v>
                </c:pt>
              </c:numCache>
            </c:numRef>
          </c:val>
          <c:extLst>
            <c:ext xmlns:c16="http://schemas.microsoft.com/office/drawing/2014/chart" uri="{C3380CC4-5D6E-409C-BE32-E72D297353CC}">
              <c16:uniqueId val="{00000005-2FCC-4A3F-9A92-3340BC47D276}"/>
            </c:ext>
          </c:extLst>
        </c:ser>
        <c:ser>
          <c:idx val="5"/>
          <c:order val="5"/>
          <c:tx>
            <c:v>Revenue</c:v>
          </c:tx>
          <c:spPr>
            <a:solidFill>
              <a:srgbClr val="1F4E79"/>
            </a:solidFill>
            <a:ln w="25400">
              <a:noFill/>
            </a:ln>
          </c:spPr>
          <c:cat>
            <c:strRef>
              <c:f>Area!$Y$24:$Y$95</c:f>
              <c:strCache>
                <c:ptCount val="70"/>
                <c:pt idx="4">
                  <c:v>Jan</c:v>
                </c:pt>
                <c:pt idx="7">
                  <c:v>Apr</c:v>
                </c:pt>
                <c:pt idx="10">
                  <c:v>Jul</c:v>
                </c:pt>
                <c:pt idx="13">
                  <c:v>Oct</c:v>
                </c:pt>
                <c:pt idx="18">
                  <c:v>Jan</c:v>
                </c:pt>
                <c:pt idx="21">
                  <c:v>Apr</c:v>
                </c:pt>
                <c:pt idx="24">
                  <c:v>Jul</c:v>
                </c:pt>
                <c:pt idx="27">
                  <c:v>Oct</c:v>
                </c:pt>
                <c:pt idx="32">
                  <c:v>Jan</c:v>
                </c:pt>
                <c:pt idx="35">
                  <c:v>Apr</c:v>
                </c:pt>
                <c:pt idx="38">
                  <c:v>Jul</c:v>
                </c:pt>
                <c:pt idx="41">
                  <c:v>Oct</c:v>
                </c:pt>
                <c:pt idx="46">
                  <c:v>Jan</c:v>
                </c:pt>
                <c:pt idx="49">
                  <c:v>Apr</c:v>
                </c:pt>
                <c:pt idx="52">
                  <c:v>Jul</c:v>
                </c:pt>
                <c:pt idx="55">
                  <c:v>Oct</c:v>
                </c:pt>
                <c:pt idx="60">
                  <c:v>Jan</c:v>
                </c:pt>
                <c:pt idx="63">
                  <c:v>Apr</c:v>
                </c:pt>
                <c:pt idx="66">
                  <c:v>Jul</c:v>
                </c:pt>
                <c:pt idx="69">
                  <c:v>Oct</c:v>
                </c:pt>
              </c:strCache>
            </c:strRef>
          </c:cat>
          <c:val>
            <c:numRef>
              <c:f>Area!$AE$24:$AE$95</c:f>
              <c:numCache>
                <c:formatCode>General</c:formatCode>
                <c:ptCount val="72"/>
                <c:pt idx="0">
                  <c:v>0.39633333333333332</c:v>
                </c:pt>
                <c:pt idx="1">
                  <c:v>0.39633333333333332</c:v>
                </c:pt>
                <c:pt idx="2">
                  <c:v>0.39633333333333332</c:v>
                </c:pt>
                <c:pt idx="3">
                  <c:v>0.39633333333333332</c:v>
                </c:pt>
                <c:pt idx="4">
                  <c:v>0.39633333333333332</c:v>
                </c:pt>
                <c:pt idx="5">
                  <c:v>0.43984799999999996</c:v>
                </c:pt>
                <c:pt idx="6">
                  <c:v>0.48336266666666666</c:v>
                </c:pt>
                <c:pt idx="7">
                  <c:v>0.42853199999999991</c:v>
                </c:pt>
                <c:pt idx="8">
                  <c:v>0.47204666666666661</c:v>
                </c:pt>
                <c:pt idx="9">
                  <c:v>0.51556133333333332</c:v>
                </c:pt>
                <c:pt idx="10">
                  <c:v>0.46067600000000003</c:v>
                </c:pt>
                <c:pt idx="11">
                  <c:v>0.50424533333333332</c:v>
                </c:pt>
                <c:pt idx="12">
                  <c:v>0.54776000000000002</c:v>
                </c:pt>
                <c:pt idx="13">
                  <c:v>0.49287466666666663</c:v>
                </c:pt>
                <c:pt idx="14">
                  <c:v>0.53638933333333327</c:v>
                </c:pt>
                <c:pt idx="15">
                  <c:v>0.57995866666666662</c:v>
                </c:pt>
                <c:pt idx="16">
                  <c:v>0.57995866666666662</c:v>
                </c:pt>
                <c:pt idx="17">
                  <c:v>0.30886666666666662</c:v>
                </c:pt>
                <c:pt idx="18">
                  <c:v>0.30886666666666662</c:v>
                </c:pt>
                <c:pt idx="19">
                  <c:v>0.34937466666666667</c:v>
                </c:pt>
                <c:pt idx="20">
                  <c:v>0.29148266666666667</c:v>
                </c:pt>
                <c:pt idx="21">
                  <c:v>0.3320453333333333</c:v>
                </c:pt>
                <c:pt idx="22">
                  <c:v>0.37255333333333329</c:v>
                </c:pt>
                <c:pt idx="23">
                  <c:v>0.31466133333333335</c:v>
                </c:pt>
                <c:pt idx="24">
                  <c:v>0.35522399999999998</c:v>
                </c:pt>
                <c:pt idx="25">
                  <c:v>0.39573199999999997</c:v>
                </c:pt>
                <c:pt idx="26">
                  <c:v>0.33783999999999997</c:v>
                </c:pt>
                <c:pt idx="27">
                  <c:v>0.37834800000000002</c:v>
                </c:pt>
                <c:pt idx="28">
                  <c:v>0.41885600000000001</c:v>
                </c:pt>
                <c:pt idx="29">
                  <c:v>0.3610186666666666</c:v>
                </c:pt>
                <c:pt idx="30">
                  <c:v>0.3610186666666666</c:v>
                </c:pt>
                <c:pt idx="31">
                  <c:v>0.55213333333333325</c:v>
                </c:pt>
                <c:pt idx="32">
                  <c:v>0.55213333333333325</c:v>
                </c:pt>
                <c:pt idx="33">
                  <c:v>0.4994893333333334</c:v>
                </c:pt>
                <c:pt idx="34">
                  <c:v>0.54530000000000001</c:v>
                </c:pt>
                <c:pt idx="35">
                  <c:v>0.59105599999999991</c:v>
                </c:pt>
                <c:pt idx="36">
                  <c:v>0.53846666666666665</c:v>
                </c:pt>
                <c:pt idx="37">
                  <c:v>0.58427733333333332</c:v>
                </c:pt>
                <c:pt idx="38">
                  <c:v>0.63003333333333333</c:v>
                </c:pt>
                <c:pt idx="39">
                  <c:v>0.57738933333333331</c:v>
                </c:pt>
                <c:pt idx="40">
                  <c:v>0.62319999999999998</c:v>
                </c:pt>
                <c:pt idx="41">
                  <c:v>0.66901066666666664</c:v>
                </c:pt>
                <c:pt idx="42">
                  <c:v>0.61636666666666662</c:v>
                </c:pt>
                <c:pt idx="43">
                  <c:v>0.66212266666666664</c:v>
                </c:pt>
                <c:pt idx="44">
                  <c:v>0.66212266666666664</c:v>
                </c:pt>
                <c:pt idx="45">
                  <c:v>0.36626666666666663</c:v>
                </c:pt>
                <c:pt idx="46">
                  <c:v>0.36626666666666663</c:v>
                </c:pt>
                <c:pt idx="47">
                  <c:v>0.40901599999999999</c:v>
                </c:pt>
                <c:pt idx="48">
                  <c:v>0.45182</c:v>
                </c:pt>
                <c:pt idx="49">
                  <c:v>0.39622399999999997</c:v>
                </c:pt>
                <c:pt idx="50">
                  <c:v>0.43897333333333333</c:v>
                </c:pt>
                <c:pt idx="51">
                  <c:v>0.48172266666666663</c:v>
                </c:pt>
                <c:pt idx="52">
                  <c:v>0.42612666666666671</c:v>
                </c:pt>
                <c:pt idx="53">
                  <c:v>0.46893066666666661</c:v>
                </c:pt>
                <c:pt idx="54">
                  <c:v>0.51168000000000002</c:v>
                </c:pt>
                <c:pt idx="55">
                  <c:v>0.45608399999999988</c:v>
                </c:pt>
                <c:pt idx="56">
                  <c:v>0.49883333333333324</c:v>
                </c:pt>
                <c:pt idx="57">
                  <c:v>0.54158266666666666</c:v>
                </c:pt>
                <c:pt idx="58">
                  <c:v>0.54158266666666666</c:v>
                </c:pt>
                <c:pt idx="59">
                  <c:v>0.27879999999999999</c:v>
                </c:pt>
                <c:pt idx="60">
                  <c:v>0.27879999999999999</c:v>
                </c:pt>
                <c:pt idx="61">
                  <c:v>0.31859733333333329</c:v>
                </c:pt>
                <c:pt idx="62">
                  <c:v>0.25994</c:v>
                </c:pt>
                <c:pt idx="63">
                  <c:v>0.29968266666666671</c:v>
                </c:pt>
                <c:pt idx="64">
                  <c:v>0.33947999999999995</c:v>
                </c:pt>
                <c:pt idx="65">
                  <c:v>0.28087733333333331</c:v>
                </c:pt>
                <c:pt idx="66">
                  <c:v>0.32062000000000002</c:v>
                </c:pt>
                <c:pt idx="67">
                  <c:v>0.36036266666666666</c:v>
                </c:pt>
                <c:pt idx="68">
                  <c:v>0.30175999999999997</c:v>
                </c:pt>
                <c:pt idx="69">
                  <c:v>0.34155733333333327</c:v>
                </c:pt>
                <c:pt idx="70">
                  <c:v>0.38129999999999997</c:v>
                </c:pt>
                <c:pt idx="71">
                  <c:v>0.32264266666666669</c:v>
                </c:pt>
              </c:numCache>
            </c:numRef>
          </c:val>
          <c:extLst>
            <c:ext xmlns:c16="http://schemas.microsoft.com/office/drawing/2014/chart" uri="{C3380CC4-5D6E-409C-BE32-E72D297353CC}">
              <c16:uniqueId val="{00000006-2FCC-4A3F-9A92-3340BC47D276}"/>
            </c:ext>
          </c:extLst>
        </c:ser>
        <c:dLbls>
          <c:showLegendKey val="0"/>
          <c:showVal val="0"/>
          <c:showCatName val="0"/>
          <c:showSerName val="0"/>
          <c:showPercent val="0"/>
          <c:showBubbleSize val="0"/>
        </c:dLbls>
        <c:axId val="2021377199"/>
        <c:axId val="1904721903"/>
      </c:areaChart>
      <c:barChart>
        <c:barDir val="col"/>
        <c:grouping val="clustered"/>
        <c:varyColors val="0"/>
        <c:ser>
          <c:idx val="6"/>
          <c:order val="6"/>
          <c:tx>
            <c:v> </c:v>
          </c:tx>
          <c:spPr>
            <a:solidFill>
              <a:srgbClr val="FFFFFF"/>
            </a:solidFill>
            <a:ln w="25400">
              <a:noFill/>
            </a:ln>
          </c:spPr>
          <c:invertIfNegative val="0"/>
          <c:cat>
            <c:strRef>
              <c:f>Area!$Y$24:$Y$95</c:f>
              <c:strCache>
                <c:ptCount val="70"/>
                <c:pt idx="4">
                  <c:v>Jan</c:v>
                </c:pt>
                <c:pt idx="7">
                  <c:v>Apr</c:v>
                </c:pt>
                <c:pt idx="10">
                  <c:v>Jul</c:v>
                </c:pt>
                <c:pt idx="13">
                  <c:v>Oct</c:v>
                </c:pt>
                <c:pt idx="18">
                  <c:v>Jan</c:v>
                </c:pt>
                <c:pt idx="21">
                  <c:v>Apr</c:v>
                </c:pt>
                <c:pt idx="24">
                  <c:v>Jul</c:v>
                </c:pt>
                <c:pt idx="27">
                  <c:v>Oct</c:v>
                </c:pt>
                <c:pt idx="32">
                  <c:v>Jan</c:v>
                </c:pt>
                <c:pt idx="35">
                  <c:v>Apr</c:v>
                </c:pt>
                <c:pt idx="38">
                  <c:v>Jul</c:v>
                </c:pt>
                <c:pt idx="41">
                  <c:v>Oct</c:v>
                </c:pt>
                <c:pt idx="46">
                  <c:v>Jan</c:v>
                </c:pt>
                <c:pt idx="49">
                  <c:v>Apr</c:v>
                </c:pt>
                <c:pt idx="52">
                  <c:v>Jul</c:v>
                </c:pt>
                <c:pt idx="55">
                  <c:v>Oct</c:v>
                </c:pt>
                <c:pt idx="60">
                  <c:v>Jan</c:v>
                </c:pt>
                <c:pt idx="63">
                  <c:v>Apr</c:v>
                </c:pt>
                <c:pt idx="66">
                  <c:v>Jul</c:v>
                </c:pt>
                <c:pt idx="69">
                  <c:v>Oct</c:v>
                </c:pt>
              </c:strCache>
            </c:strRef>
          </c:cat>
          <c:val>
            <c:numRef>
              <c:f>Area!$AF$24:$AF$95</c:f>
              <c:numCache>
                <c:formatCode>General</c:formatCode>
                <c:ptCount val="72"/>
                <c:pt idx="0">
                  <c:v>3</c:v>
                </c:pt>
                <c:pt idx="1">
                  <c:v>3</c:v>
                </c:pt>
                <c:pt idx="2">
                  <c:v>3</c:v>
                </c:pt>
                <c:pt idx="3">
                  <c:v>3</c:v>
                </c:pt>
                <c:pt idx="4">
                  <c:v>#N/A</c:v>
                </c:pt>
                <c:pt idx="5">
                  <c:v>#N/A</c:v>
                </c:pt>
                <c:pt idx="6">
                  <c:v>#N/A</c:v>
                </c:pt>
                <c:pt idx="7">
                  <c:v>#N/A</c:v>
                </c:pt>
                <c:pt idx="8">
                  <c:v>#N/A</c:v>
                </c:pt>
                <c:pt idx="9">
                  <c:v>#N/A</c:v>
                </c:pt>
                <c:pt idx="10">
                  <c:v>#N/A</c:v>
                </c:pt>
                <c:pt idx="11">
                  <c:v>#N/A</c:v>
                </c:pt>
                <c:pt idx="12">
                  <c:v>#N/A</c:v>
                </c:pt>
                <c:pt idx="13">
                  <c:v>#N/A</c:v>
                </c:pt>
                <c:pt idx="14">
                  <c:v>#N/A</c:v>
                </c:pt>
                <c:pt idx="15">
                  <c:v>#N/A</c:v>
                </c:pt>
                <c:pt idx="16">
                  <c:v>3</c:v>
                </c:pt>
                <c:pt idx="17">
                  <c:v>3</c:v>
                </c:pt>
                <c:pt idx="18">
                  <c:v>#N/A</c:v>
                </c:pt>
                <c:pt idx="19">
                  <c:v>#N/A</c:v>
                </c:pt>
                <c:pt idx="20">
                  <c:v>#N/A</c:v>
                </c:pt>
                <c:pt idx="21">
                  <c:v>#N/A</c:v>
                </c:pt>
                <c:pt idx="22">
                  <c:v>#N/A</c:v>
                </c:pt>
                <c:pt idx="23">
                  <c:v>#N/A</c:v>
                </c:pt>
                <c:pt idx="24">
                  <c:v>#N/A</c:v>
                </c:pt>
                <c:pt idx="25">
                  <c:v>#N/A</c:v>
                </c:pt>
                <c:pt idx="26">
                  <c:v>#N/A</c:v>
                </c:pt>
                <c:pt idx="27">
                  <c:v>#N/A</c:v>
                </c:pt>
                <c:pt idx="28">
                  <c:v>#N/A</c:v>
                </c:pt>
                <c:pt idx="29">
                  <c:v>#N/A</c:v>
                </c:pt>
                <c:pt idx="30">
                  <c:v>3</c:v>
                </c:pt>
                <c:pt idx="31">
                  <c:v>3</c:v>
                </c:pt>
                <c:pt idx="32">
                  <c:v>#N/A</c:v>
                </c:pt>
                <c:pt idx="33">
                  <c:v>#N/A</c:v>
                </c:pt>
                <c:pt idx="34">
                  <c:v>#N/A</c:v>
                </c:pt>
                <c:pt idx="35">
                  <c:v>#N/A</c:v>
                </c:pt>
                <c:pt idx="36">
                  <c:v>#N/A</c:v>
                </c:pt>
                <c:pt idx="37">
                  <c:v>#N/A</c:v>
                </c:pt>
                <c:pt idx="38">
                  <c:v>#N/A</c:v>
                </c:pt>
                <c:pt idx="39">
                  <c:v>#N/A</c:v>
                </c:pt>
                <c:pt idx="40">
                  <c:v>#N/A</c:v>
                </c:pt>
                <c:pt idx="41">
                  <c:v>#N/A</c:v>
                </c:pt>
                <c:pt idx="42">
                  <c:v>#N/A</c:v>
                </c:pt>
                <c:pt idx="43">
                  <c:v>#N/A</c:v>
                </c:pt>
                <c:pt idx="44">
                  <c:v>3</c:v>
                </c:pt>
                <c:pt idx="45">
                  <c:v>3</c:v>
                </c:pt>
                <c:pt idx="46">
                  <c:v>#N/A</c:v>
                </c:pt>
                <c:pt idx="47">
                  <c:v>#N/A</c:v>
                </c:pt>
                <c:pt idx="48">
                  <c:v>#N/A</c:v>
                </c:pt>
                <c:pt idx="49">
                  <c:v>#N/A</c:v>
                </c:pt>
                <c:pt idx="50">
                  <c:v>#N/A</c:v>
                </c:pt>
                <c:pt idx="51">
                  <c:v>#N/A</c:v>
                </c:pt>
                <c:pt idx="52">
                  <c:v>#N/A</c:v>
                </c:pt>
                <c:pt idx="53">
                  <c:v>#N/A</c:v>
                </c:pt>
                <c:pt idx="54">
                  <c:v>#N/A</c:v>
                </c:pt>
                <c:pt idx="55">
                  <c:v>#N/A</c:v>
                </c:pt>
                <c:pt idx="56">
                  <c:v>#N/A</c:v>
                </c:pt>
                <c:pt idx="57">
                  <c:v>#N/A</c:v>
                </c:pt>
                <c:pt idx="58">
                  <c:v>3</c:v>
                </c:pt>
                <c:pt idx="59">
                  <c:v>3</c:v>
                </c:pt>
                <c:pt idx="60">
                  <c:v>#N/A</c:v>
                </c:pt>
                <c:pt idx="61">
                  <c:v>#N/A</c:v>
                </c:pt>
                <c:pt idx="62">
                  <c:v>#N/A</c:v>
                </c:pt>
                <c:pt idx="63">
                  <c:v>#N/A</c:v>
                </c:pt>
                <c:pt idx="64">
                  <c:v>#N/A</c:v>
                </c:pt>
                <c:pt idx="65">
                  <c:v>#N/A</c:v>
                </c:pt>
                <c:pt idx="66">
                  <c:v>#N/A</c:v>
                </c:pt>
                <c:pt idx="67">
                  <c:v>#N/A</c:v>
                </c:pt>
                <c:pt idx="68">
                  <c:v>#N/A</c:v>
                </c:pt>
                <c:pt idx="69">
                  <c:v>#N/A</c:v>
                </c:pt>
                <c:pt idx="70">
                  <c:v>#N/A</c:v>
                </c:pt>
                <c:pt idx="71">
                  <c:v>#N/A</c:v>
                </c:pt>
              </c:numCache>
            </c:numRef>
          </c:val>
          <c:extLst>
            <c:ext xmlns:c16="http://schemas.microsoft.com/office/drawing/2014/chart" uri="{C3380CC4-5D6E-409C-BE32-E72D297353CC}">
              <c16:uniqueId val="{00000007-2FCC-4A3F-9A92-3340BC47D276}"/>
            </c:ext>
          </c:extLst>
        </c:ser>
        <c:dLbls>
          <c:showLegendKey val="0"/>
          <c:showVal val="0"/>
          <c:showCatName val="0"/>
          <c:showSerName val="0"/>
          <c:showPercent val="0"/>
          <c:showBubbleSize val="0"/>
        </c:dLbls>
        <c:gapWidth val="0"/>
        <c:axId val="2021377199"/>
        <c:axId val="1904721903"/>
      </c:barChart>
      <c:scatterChart>
        <c:scatterStyle val="lineMarker"/>
        <c:varyColors val="0"/>
        <c:ser>
          <c:idx val="7"/>
          <c:order val="7"/>
          <c:tx>
            <c:v>divider</c:v>
          </c:tx>
          <c:spPr>
            <a:ln w="9525">
              <a:solidFill>
                <a:srgbClr val="BFBFBF"/>
              </a:solidFill>
            </a:ln>
          </c:spPr>
          <c:marker>
            <c:symbol val="none"/>
          </c:marker>
          <c:xVal>
            <c:numRef>
              <c:f>Area!$AH$24:$AH$35</c:f>
              <c:numCache>
                <c:formatCode>General</c:formatCode>
                <c:ptCount val="12"/>
                <c:pt idx="0">
                  <c:v>17.5</c:v>
                </c:pt>
                <c:pt idx="1">
                  <c:v>17.5</c:v>
                </c:pt>
                <c:pt idx="2">
                  <c:v>17.5</c:v>
                </c:pt>
                <c:pt idx="3">
                  <c:v>31.5</c:v>
                </c:pt>
                <c:pt idx="4">
                  <c:v>31.5</c:v>
                </c:pt>
                <c:pt idx="5">
                  <c:v>31.5</c:v>
                </c:pt>
                <c:pt idx="6">
                  <c:v>45.5</c:v>
                </c:pt>
                <c:pt idx="7">
                  <c:v>45.5</c:v>
                </c:pt>
                <c:pt idx="8">
                  <c:v>45.5</c:v>
                </c:pt>
                <c:pt idx="9">
                  <c:v>59.5</c:v>
                </c:pt>
                <c:pt idx="10">
                  <c:v>59.5</c:v>
                </c:pt>
                <c:pt idx="11">
                  <c:v>59.5</c:v>
                </c:pt>
              </c:numCache>
            </c:numRef>
          </c:xVal>
          <c:yVal>
            <c:numRef>
              <c:f>Area!$AI$24:$AI$35</c:f>
              <c:numCache>
                <c:formatCode>General</c:formatCode>
                <c:ptCount val="12"/>
                <c:pt idx="0">
                  <c:v>0</c:v>
                </c:pt>
                <c:pt idx="1">
                  <c:v>3</c:v>
                </c:pt>
                <c:pt idx="2">
                  <c:v>#N/A</c:v>
                </c:pt>
                <c:pt idx="3">
                  <c:v>0</c:v>
                </c:pt>
                <c:pt idx="4">
                  <c:v>3</c:v>
                </c:pt>
                <c:pt idx="5">
                  <c:v>#N/A</c:v>
                </c:pt>
                <c:pt idx="6">
                  <c:v>0</c:v>
                </c:pt>
                <c:pt idx="7">
                  <c:v>3</c:v>
                </c:pt>
                <c:pt idx="8">
                  <c:v>#N/A</c:v>
                </c:pt>
                <c:pt idx="9">
                  <c:v>0</c:v>
                </c:pt>
                <c:pt idx="10">
                  <c:v>3</c:v>
                </c:pt>
                <c:pt idx="11">
                  <c:v>#N/A</c:v>
                </c:pt>
              </c:numCache>
            </c:numRef>
          </c:yVal>
          <c:smooth val="0"/>
          <c:extLst>
            <c:ext xmlns:c16="http://schemas.microsoft.com/office/drawing/2014/chart" uri="{C3380CC4-5D6E-409C-BE32-E72D297353CC}">
              <c16:uniqueId val="{00000008-2FCC-4A3F-9A92-3340BC47D276}"/>
            </c:ext>
          </c:extLst>
        </c:ser>
        <c:ser>
          <c:idx val="8"/>
          <c:order val="8"/>
          <c:tx>
            <c:v>bandrule</c:v>
          </c:tx>
          <c:spPr>
            <a:ln w="9525">
              <a:solidFill>
                <a:srgbClr val="BFBFBF"/>
              </a:solidFill>
            </a:ln>
          </c:spPr>
          <c:marker>
            <c:symbol val="none"/>
          </c:marker>
          <c:xVal>
            <c:numRef>
              <c:f>Area!$AK$24:$AK$29</c:f>
              <c:numCache>
                <c:formatCode>General</c:formatCode>
                <c:ptCount val="6"/>
                <c:pt idx="0">
                  <c:v>0.5</c:v>
                </c:pt>
                <c:pt idx="1">
                  <c:v>72.5</c:v>
                </c:pt>
                <c:pt idx="2">
                  <c:v>72.5</c:v>
                </c:pt>
                <c:pt idx="3">
                  <c:v>0.5</c:v>
                </c:pt>
                <c:pt idx="4">
                  <c:v>72.5</c:v>
                </c:pt>
                <c:pt idx="5">
                  <c:v>72.5</c:v>
                </c:pt>
              </c:numCache>
            </c:numRef>
          </c:xVal>
          <c:yVal>
            <c:numRef>
              <c:f>Area!$AL$24:$AL$29</c:f>
              <c:numCache>
                <c:formatCode>General</c:formatCode>
                <c:ptCount val="6"/>
                <c:pt idx="0">
                  <c:v>0.90999999999999992</c:v>
                </c:pt>
                <c:pt idx="1">
                  <c:v>0.90999999999999992</c:v>
                </c:pt>
                <c:pt idx="2">
                  <c:v>#N/A</c:v>
                </c:pt>
                <c:pt idx="3">
                  <c:v>1.91</c:v>
                </c:pt>
                <c:pt idx="4">
                  <c:v>1.91</c:v>
                </c:pt>
                <c:pt idx="5">
                  <c:v>#N/A</c:v>
                </c:pt>
              </c:numCache>
            </c:numRef>
          </c:yVal>
          <c:smooth val="0"/>
          <c:extLst>
            <c:ext xmlns:c16="http://schemas.microsoft.com/office/drawing/2014/chart" uri="{C3380CC4-5D6E-409C-BE32-E72D297353CC}">
              <c16:uniqueId val="{00000009-2FCC-4A3F-9A92-3340BC47D276}"/>
            </c:ext>
          </c:extLst>
        </c:ser>
        <c:ser>
          <c:idx val="9"/>
          <c:order val="9"/>
          <c:tx>
            <c:v>baseline</c:v>
          </c:tx>
          <c:spPr>
            <a:ln w="9525">
              <a:solidFill>
                <a:srgbClr val="808080"/>
              </a:solidFill>
            </a:ln>
          </c:spPr>
          <c:marker>
            <c:symbol val="none"/>
          </c:marker>
          <c:xVal>
            <c:numRef>
              <c:f>Area!$AN$24:$AN$68</c:f>
              <c:numCache>
                <c:formatCode>General</c:formatCode>
                <c:ptCount val="45"/>
                <c:pt idx="0">
                  <c:v>4.5</c:v>
                </c:pt>
                <c:pt idx="1">
                  <c:v>16.5</c:v>
                </c:pt>
                <c:pt idx="2">
                  <c:v>16.5</c:v>
                </c:pt>
                <c:pt idx="3">
                  <c:v>18.5</c:v>
                </c:pt>
                <c:pt idx="4">
                  <c:v>30.5</c:v>
                </c:pt>
                <c:pt idx="5">
                  <c:v>30.5</c:v>
                </c:pt>
                <c:pt idx="6">
                  <c:v>32.5</c:v>
                </c:pt>
                <c:pt idx="7">
                  <c:v>44.5</c:v>
                </c:pt>
                <c:pt idx="8">
                  <c:v>44.5</c:v>
                </c:pt>
                <c:pt idx="9">
                  <c:v>46.5</c:v>
                </c:pt>
                <c:pt idx="10">
                  <c:v>58.5</c:v>
                </c:pt>
                <c:pt idx="11">
                  <c:v>58.5</c:v>
                </c:pt>
                <c:pt idx="12">
                  <c:v>60.5</c:v>
                </c:pt>
                <c:pt idx="13">
                  <c:v>72.5</c:v>
                </c:pt>
                <c:pt idx="14">
                  <c:v>72.5</c:v>
                </c:pt>
                <c:pt idx="15">
                  <c:v>4.5</c:v>
                </c:pt>
                <c:pt idx="16">
                  <c:v>16.5</c:v>
                </c:pt>
                <c:pt idx="17">
                  <c:v>16.5</c:v>
                </c:pt>
                <c:pt idx="18">
                  <c:v>18.5</c:v>
                </c:pt>
                <c:pt idx="19">
                  <c:v>30.5</c:v>
                </c:pt>
                <c:pt idx="20">
                  <c:v>30.5</c:v>
                </c:pt>
                <c:pt idx="21">
                  <c:v>32.5</c:v>
                </c:pt>
                <c:pt idx="22">
                  <c:v>44.5</c:v>
                </c:pt>
                <c:pt idx="23">
                  <c:v>44.5</c:v>
                </c:pt>
                <c:pt idx="24">
                  <c:v>46.5</c:v>
                </c:pt>
                <c:pt idx="25">
                  <c:v>58.5</c:v>
                </c:pt>
                <c:pt idx="26">
                  <c:v>58.5</c:v>
                </c:pt>
                <c:pt idx="27">
                  <c:v>60.5</c:v>
                </c:pt>
                <c:pt idx="28">
                  <c:v>72.5</c:v>
                </c:pt>
                <c:pt idx="29">
                  <c:v>72.5</c:v>
                </c:pt>
                <c:pt idx="30">
                  <c:v>4.5</c:v>
                </c:pt>
                <c:pt idx="31">
                  <c:v>16.5</c:v>
                </c:pt>
                <c:pt idx="32">
                  <c:v>16.5</c:v>
                </c:pt>
                <c:pt idx="33">
                  <c:v>18.5</c:v>
                </c:pt>
                <c:pt idx="34">
                  <c:v>30.5</c:v>
                </c:pt>
                <c:pt idx="35">
                  <c:v>30.5</c:v>
                </c:pt>
                <c:pt idx="36">
                  <c:v>32.5</c:v>
                </c:pt>
                <c:pt idx="37">
                  <c:v>44.5</c:v>
                </c:pt>
                <c:pt idx="38">
                  <c:v>44.5</c:v>
                </c:pt>
                <c:pt idx="39">
                  <c:v>46.5</c:v>
                </c:pt>
                <c:pt idx="40">
                  <c:v>58.5</c:v>
                </c:pt>
                <c:pt idx="41">
                  <c:v>58.5</c:v>
                </c:pt>
                <c:pt idx="42">
                  <c:v>60.5</c:v>
                </c:pt>
                <c:pt idx="43">
                  <c:v>72.5</c:v>
                </c:pt>
                <c:pt idx="44">
                  <c:v>72.5</c:v>
                </c:pt>
              </c:numCache>
            </c:numRef>
          </c:xVal>
          <c:yVal>
            <c:numRef>
              <c:f>Area!$AO$24:$AO$68</c:f>
              <c:numCache>
                <c:formatCode>General</c:formatCode>
                <c:ptCount val="45"/>
                <c:pt idx="0">
                  <c:v>0</c:v>
                </c:pt>
                <c:pt idx="1">
                  <c:v>0</c:v>
                </c:pt>
                <c:pt idx="2">
                  <c:v>#N/A</c:v>
                </c:pt>
                <c:pt idx="3">
                  <c:v>0</c:v>
                </c:pt>
                <c:pt idx="4">
                  <c:v>0</c:v>
                </c:pt>
                <c:pt idx="5">
                  <c:v>#N/A</c:v>
                </c:pt>
                <c:pt idx="6">
                  <c:v>0</c:v>
                </c:pt>
                <c:pt idx="7">
                  <c:v>0</c:v>
                </c:pt>
                <c:pt idx="8">
                  <c:v>#N/A</c:v>
                </c:pt>
                <c:pt idx="9">
                  <c:v>0</c:v>
                </c:pt>
                <c:pt idx="10">
                  <c:v>0</c:v>
                </c:pt>
                <c:pt idx="11">
                  <c:v>#N/A</c:v>
                </c:pt>
                <c:pt idx="12">
                  <c:v>0</c:v>
                </c:pt>
                <c:pt idx="13">
                  <c:v>0</c:v>
                </c:pt>
                <c:pt idx="14">
                  <c:v>#N/A</c:v>
                </c:pt>
                <c:pt idx="15">
                  <c:v>1</c:v>
                </c:pt>
                <c:pt idx="16">
                  <c:v>1</c:v>
                </c:pt>
                <c:pt idx="17">
                  <c:v>#N/A</c:v>
                </c:pt>
                <c:pt idx="18">
                  <c:v>1</c:v>
                </c:pt>
                <c:pt idx="19">
                  <c:v>1</c:v>
                </c:pt>
                <c:pt idx="20">
                  <c:v>#N/A</c:v>
                </c:pt>
                <c:pt idx="21">
                  <c:v>1</c:v>
                </c:pt>
                <c:pt idx="22">
                  <c:v>1</c:v>
                </c:pt>
                <c:pt idx="23">
                  <c:v>#N/A</c:v>
                </c:pt>
                <c:pt idx="24">
                  <c:v>1</c:v>
                </c:pt>
                <c:pt idx="25">
                  <c:v>1</c:v>
                </c:pt>
                <c:pt idx="26">
                  <c:v>#N/A</c:v>
                </c:pt>
                <c:pt idx="27">
                  <c:v>1</c:v>
                </c:pt>
                <c:pt idx="28">
                  <c:v>1</c:v>
                </c:pt>
                <c:pt idx="29">
                  <c:v>#N/A</c:v>
                </c:pt>
                <c:pt idx="30">
                  <c:v>2</c:v>
                </c:pt>
                <c:pt idx="31">
                  <c:v>2</c:v>
                </c:pt>
                <c:pt idx="32">
                  <c:v>#N/A</c:v>
                </c:pt>
                <c:pt idx="33">
                  <c:v>2</c:v>
                </c:pt>
                <c:pt idx="34">
                  <c:v>2</c:v>
                </c:pt>
                <c:pt idx="35">
                  <c:v>#N/A</c:v>
                </c:pt>
                <c:pt idx="36">
                  <c:v>2</c:v>
                </c:pt>
                <c:pt idx="37">
                  <c:v>2</c:v>
                </c:pt>
                <c:pt idx="38">
                  <c:v>#N/A</c:v>
                </c:pt>
                <c:pt idx="39">
                  <c:v>2</c:v>
                </c:pt>
                <c:pt idx="40">
                  <c:v>2</c:v>
                </c:pt>
                <c:pt idx="41">
                  <c:v>#N/A</c:v>
                </c:pt>
                <c:pt idx="42">
                  <c:v>2</c:v>
                </c:pt>
                <c:pt idx="43">
                  <c:v>2</c:v>
                </c:pt>
                <c:pt idx="44">
                  <c:v>#N/A</c:v>
                </c:pt>
              </c:numCache>
            </c:numRef>
          </c:yVal>
          <c:smooth val="0"/>
          <c:extLst>
            <c:ext xmlns:c16="http://schemas.microsoft.com/office/drawing/2014/chart" uri="{C3380CC4-5D6E-409C-BE32-E72D297353CC}">
              <c16:uniqueId val="{0000000A-2FCC-4A3F-9A92-3340BC47D276}"/>
            </c:ext>
          </c:extLst>
        </c:ser>
        <c:ser>
          <c:idx val="10"/>
          <c:order val="10"/>
          <c:tx>
            <c:v>ptitle</c:v>
          </c:tx>
          <c:spPr>
            <a:ln w="38100">
              <a:noFill/>
            </a:ln>
          </c:spPr>
          <c:marker>
            <c:symbol val="none"/>
          </c:marker>
          <c:dLbls>
            <c:dLbl>
              <c:idx val="0"/>
              <c:tx>
                <c:strRef>
                  <c:f>Area!$AS$24</c:f>
                  <c:strCache>
                    <c:ptCount val="1"/>
                    <c:pt idx="0">
                      <c:v>Business partner 01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{1C88A2AE-345C-4B1F-91AB-7DFE537E0808}</c15:txfldGUID>
                      <c15:f>Area!$AS$24</c15:f>
                      <c15:dlblFieldTableCache>
                        <c:ptCount val="1"/>
                        <c:pt idx="0">
                          <c:v>Business partner 01</c:v>
                        </c:pt>
                      </c15:dlblFieldTableCache>
                    </c15:dlblFTEntry>
                  </c15:dlblFieldTable>
                  <c15:showDataLabelsRange val="0"/>
                </c:ext>
                <c:ext xmlns:c16="http://schemas.microsoft.com/office/drawing/2014/chart" uri="{C3380CC4-5D6E-409C-BE32-E72D297353CC}">
                  <c16:uniqueId val="{0000000D-2FCC-4A3F-9A92-3340BC47D276}"/>
                </c:ext>
              </c:extLst>
            </c:dLbl>
            <c:dLbl>
              <c:idx val="1"/>
              <c:tx>
                <c:strRef>
                  <c:f>Area!$AS$25</c:f>
                  <c:strCache>
                    <c:ptCount val="1"/>
                    <c:pt idx="0">
                      <c:v>Business partner 02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{5F14D687-79E7-47FE-A23C-5073E59B6F2F}</c15:txfldGUID>
                      <c15:f>Area!$AS$25</c15:f>
                      <c15:dlblFieldTableCache>
                        <c:ptCount val="1"/>
                        <c:pt idx="0">
                          <c:v>Business partner 02</c:v>
                        </c:pt>
                      </c15:dlblFieldTableCache>
                    </c15:dlblFTEntry>
                  </c15:dlblFieldTable>
                  <c15:showDataLabelsRange val="0"/>
                </c:ext>
                <c:ext xmlns:c16="http://schemas.microsoft.com/office/drawing/2014/chart" uri="{C3380CC4-5D6E-409C-BE32-E72D297353CC}">
                  <c16:uniqueId val="{0000000E-2FCC-4A3F-9A92-3340BC47D276}"/>
                </c:ext>
              </c:extLst>
            </c:dLbl>
            <c:dLbl>
              <c:idx val="2"/>
              <c:tx>
                <c:strRef>
                  <c:f>Area!$AS$26</c:f>
                  <c:strCache>
                    <c:ptCount val="1"/>
                    <c:pt idx="0">
                      <c:v>Business partner 03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{6C9983A0-4059-49AD-B76B-FDE18D913D1A}</c15:txfldGUID>
                      <c15:f>Area!$AS$26</c15:f>
                      <c15:dlblFieldTableCache>
                        <c:ptCount val="1"/>
                        <c:pt idx="0">
                          <c:v>Business partner 03</c:v>
                        </c:pt>
                      </c15:dlblFieldTableCache>
                    </c15:dlblFTEntry>
                  </c15:dlblFieldTable>
                  <c15:showDataLabelsRange val="0"/>
                </c:ext>
                <c:ext xmlns:c16="http://schemas.microsoft.com/office/drawing/2014/chart" uri="{C3380CC4-5D6E-409C-BE32-E72D297353CC}">
                  <c16:uniqueId val="{0000000F-2FCC-4A3F-9A92-3340BC47D276}"/>
                </c:ext>
              </c:extLst>
            </c:dLbl>
            <c:dLbl>
              <c:idx val="3"/>
              <c:tx>
                <c:strRef>
                  <c:f>Area!$AS$27</c:f>
                  <c:strCache>
                    <c:ptCount val="1"/>
                    <c:pt idx="0">
                      <c:v>Business partner 04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{340A7FCC-4BC1-4F15-B1D4-4C42C69AA05F}</c15:txfldGUID>
                      <c15:f>Area!$AS$27</c15:f>
                      <c15:dlblFieldTableCache>
                        <c:ptCount val="1"/>
                        <c:pt idx="0">
                          <c:v>Business partner 04</c:v>
                        </c:pt>
                      </c15:dlblFieldTableCache>
                    </c15:dlblFTEntry>
                  </c15:dlblFieldTable>
                  <c15:showDataLabelsRange val="0"/>
                </c:ext>
                <c:ext xmlns:c16="http://schemas.microsoft.com/office/drawing/2014/chart" uri="{C3380CC4-5D6E-409C-BE32-E72D297353CC}">
                  <c16:uniqueId val="{00000010-2FCC-4A3F-9A92-3340BC47D276}"/>
                </c:ext>
              </c:extLst>
            </c:dLbl>
            <c:dLbl>
              <c:idx val="4"/>
              <c:tx>
                <c:strRef>
                  <c:f>Area!$AS$28</c:f>
                  <c:strCache>
                    <c:ptCount val="1"/>
                    <c:pt idx="0">
                      <c:v>Business partner 05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{3EA6E824-E736-4F61-9C35-92E91BB8CCC1}</c15:txfldGUID>
                      <c15:f>Area!$AS$28</c15:f>
                      <c15:dlblFieldTableCache>
                        <c:ptCount val="1"/>
                        <c:pt idx="0">
                          <c:v>Business partner 05</c:v>
                        </c:pt>
                      </c15:dlblFieldTableCache>
                    </c15:dlblFTEntry>
                  </c15:dlblFieldTable>
                  <c15:showDataLabelsRange val="0"/>
                </c:ext>
                <c:ext xmlns:c16="http://schemas.microsoft.com/office/drawing/2014/chart" uri="{C3380CC4-5D6E-409C-BE32-E72D297353CC}">
                  <c16:uniqueId val="{00000011-2FCC-4A3F-9A92-3340BC47D276}"/>
                </c:ext>
              </c:extLst>
            </c:dLbl>
            <c:dLbl>
              <c:idx val="5"/>
              <c:tx>
                <c:strRef>
                  <c:f>Area!$AS$29</c:f>
                  <c:strCache>
                    <c:ptCount val="1"/>
                    <c:pt idx="0">
                      <c:v>Business partner 06</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{B737B4D0-E434-4A1D-8BEF-70CFECDC177A}</c15:txfldGUID>
                      <c15:f>Area!$AS$29</c15:f>
                      <c15:dlblFieldTableCache>
                        <c:ptCount val="1"/>
                        <c:pt idx="0">
                          <c:v>Business partner 06</c:v>
                        </c:pt>
                      </c15:dlblFieldTableCache>
                    </c15:dlblFTEntry>
                  </c15:dlblFieldTable>
                  <c15:showDataLabelsRange val="0"/>
                </c:ext>
                <c:ext xmlns:c16="http://schemas.microsoft.com/office/drawing/2014/chart" uri="{C3380CC4-5D6E-409C-BE32-E72D297353CC}">
                  <c16:uniqueId val="{00000012-2FCC-4A3F-9A92-3340BC47D276}"/>
                </c:ext>
              </c:extLst>
            </c:dLbl>
            <c:dLbl>
              <c:idx val="6"/>
              <c:tx>
                <c:strRef>
                  <c:f>Area!$AS$30</c:f>
                  <c:strCache>
                    <c:ptCount val="1"/>
                    <c:pt idx="0">
                      <c:v>Business partner 07</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{6BE97F60-1CA5-4680-A39E-3A6F37371E41}</c15:txfldGUID>
                      <c15:f>Area!$AS$30</c15:f>
                      <c15:dlblFieldTableCache>
                        <c:ptCount val="1"/>
                        <c:pt idx="0">
                          <c:v>Business partner 07</c:v>
                        </c:pt>
                      </c15:dlblFieldTableCache>
                    </c15:dlblFTEntry>
                  </c15:dlblFieldTable>
                  <c15:showDataLabelsRange val="0"/>
                </c:ext>
                <c:ext xmlns:c16="http://schemas.microsoft.com/office/drawing/2014/chart" uri="{C3380CC4-5D6E-409C-BE32-E72D297353CC}">
                  <c16:uniqueId val="{00000013-2FCC-4A3F-9A92-3340BC47D276}"/>
                </c:ext>
              </c:extLst>
            </c:dLbl>
            <c:dLbl>
              <c:idx val="7"/>
              <c:tx>
                <c:strRef>
                  <c:f>Area!$AS$31</c:f>
                  <c:strCache>
                    <c:ptCount val="1"/>
                    <c:pt idx="0">
                      <c:v>Business partner 08</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{7A9D97C4-3855-4859-9FA7-247254F1E72A}</c15:txfldGUID>
                      <c15:f>Area!$AS$31</c15:f>
                      <c15:dlblFieldTableCache>
                        <c:ptCount val="1"/>
                        <c:pt idx="0">
                          <c:v>Business partner 08</c:v>
                        </c:pt>
                      </c15:dlblFieldTableCache>
                    </c15:dlblFTEntry>
                  </c15:dlblFieldTable>
                  <c15:showDataLabelsRange val="0"/>
                </c:ext>
                <c:ext xmlns:c16="http://schemas.microsoft.com/office/drawing/2014/chart" uri="{C3380CC4-5D6E-409C-BE32-E72D297353CC}">
                  <c16:uniqueId val="{00000014-2FCC-4A3F-9A92-3340BC47D276}"/>
                </c:ext>
              </c:extLst>
            </c:dLbl>
            <c:dLbl>
              <c:idx val="8"/>
              <c:tx>
                <c:strRef>
                  <c:f>Area!$AS$32</c:f>
                  <c:strCache>
                    <c:ptCount val="1"/>
                    <c:pt idx="0">
                      <c:v>Business partner 09</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{B32C9617-F975-474E-B8C5-2073A58EA067}</c15:txfldGUID>
                      <c15:f>Area!$AS$32</c15:f>
                      <c15:dlblFieldTableCache>
                        <c:ptCount val="1"/>
                        <c:pt idx="0">
                          <c:v>Business partner 09</c:v>
                        </c:pt>
                      </c15:dlblFieldTableCache>
                    </c15:dlblFTEntry>
                  </c15:dlblFieldTable>
                  <c15:showDataLabelsRange val="0"/>
                </c:ext>
                <c:ext xmlns:c16="http://schemas.microsoft.com/office/drawing/2014/chart" uri="{C3380CC4-5D6E-409C-BE32-E72D297353CC}">
                  <c16:uniqueId val="{00000015-2FCC-4A3F-9A92-3340BC47D276}"/>
                </c:ext>
              </c:extLst>
            </c:dLbl>
            <c:dLbl>
              <c:idx val="9"/>
              <c:tx>
                <c:strRef>
                  <c:f>Area!$AS$33</c:f>
                  <c:strCache>
                    <c:ptCount val="1"/>
                    <c:pt idx="0">
                      <c:v>Business partner 10</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{3A94B778-2440-4A76-99B5-76CC99DEDD2F}</c15:txfldGUID>
                      <c15:f>Area!$AS$33</c15:f>
                      <c15:dlblFieldTableCache>
                        <c:ptCount val="1"/>
                        <c:pt idx="0">
                          <c:v>Business partner 10</c:v>
                        </c:pt>
                      </c15:dlblFieldTableCache>
                    </c15:dlblFTEntry>
                  </c15:dlblFieldTable>
                  <c15:showDataLabelsRange val="0"/>
                </c:ext>
                <c:ext xmlns:c16="http://schemas.microsoft.com/office/drawing/2014/chart" uri="{C3380CC4-5D6E-409C-BE32-E72D297353CC}">
                  <c16:uniqueId val="{00000016-2FCC-4A3F-9A92-3340BC47D276}"/>
                </c:ext>
              </c:extLst>
            </c:dLbl>
            <c:dLbl>
              <c:idx val="10"/>
              <c:tx>
                <c:strRef>
                  <c:f>Area!$AS$34</c:f>
                  <c:strCache>
                    <c:ptCount val="1"/>
                    <c:pt idx="0">
                      <c:v>Business partner 11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{6DAC9E9E-B0C6-455A-A778-DC4EF9BB2D9D}</c15:txfldGUID>
                      <c15:f>Area!$AS$34</c15:f>
                      <c15:dlblFieldTableCache>
                        <c:ptCount val="1"/>
                        <c:pt idx="0">
                          <c:v>Business partner 11</c:v>
                        </c:pt>
                      </c15:dlblFieldTableCache>
                    </c15:dlblFTEntry>
                  </c15:dlblFieldTable>
                  <c15:showDataLabelsRange val="0"/>
                </c:ext>
                <c:ext xmlns:c16="http://schemas.microsoft.com/office/drawing/2014/chart" uri="{C3380CC4-5D6E-409C-BE32-E72D297353CC}">
                  <c16:uniqueId val="{00000017-2FCC-4A3F-9A92-3340BC47D276}"/>
                </c:ext>
              </c:extLst>
            </c:dLbl>
            <c:dLbl>
              <c:idx val="11"/>
              <c:tx>
                <c:strRef>
                  <c:f>Area!$AS$35</c:f>
                  <c:strCache>
                    <c:ptCount val="1"/>
                    <c:pt idx="0">
                      <c:v>Business partner 12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{1C546E4E-4C5E-4682-BAD4-1BB529CC1F5B}</c15:txfldGUID>
                      <c15:f>Area!$AS$35</c15:f>
                      <c15:dlblFieldTableCache>
                        <c:ptCount val="1"/>
                        <c:pt idx="0">
                          <c:v>Business partner 12</c:v>
                        </c:pt>
                      </c15:dlblFieldTableCache>
                    </c15:dlblFTEntry>
                  </c15:dlblFieldTable>
                  <c15:showDataLabelsRange val="0"/>
                </c:ext>
                <c:ext xmlns:c16="http://schemas.microsoft.com/office/drawing/2014/chart" uri="{C3380CC4-5D6E-409C-BE32-E72D297353CC}">
                  <c16:uniqueId val="{00000018-2FCC-4A3F-9A92-3340BC47D276}"/>
                </c:ext>
              </c:extLst>
            </c:dLbl>
            <c:dLbl>
              <c:idx val="12"/>
              <c:tx>
                <c:strRef>
                  <c:f>Area!$AS$36</c:f>
                  <c:strCache>
                    <c:ptCount val="1"/>
                    <c:pt idx="0">
                      <c:v>Business partner 13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{5D6BA909-788F-407A-8F88-5521AA7A4CAD}</c15:txfldGUID>
                      <c15:f>Area!$AS$36</c15:f>
                      <c15:dlblFieldTableCache>
                        <c:ptCount val="1"/>
                        <c:pt idx="0">
                          <c:v>Business partner 13</c:v>
                        </c:pt>
                      </c15:dlblFieldTableCache>
                    </c15:dlblFTEntry>
                  </c15:dlblFieldTable>
                  <c15:showDataLabelsRange val="0"/>
                </c:ext>
                <c:ext xmlns:c16="http://schemas.microsoft.com/office/drawing/2014/chart" uri="{C3380CC4-5D6E-409C-BE32-E72D297353CC}">
                  <c16:uniqueId val="{00000019-2FCC-4A3F-9A92-3340BC47D276}"/>
                </c:ext>
              </c:extLst>
            </c:dLbl>
            <c:dLbl>
              <c:idx val="13"/>
              <c:tx>
                <c:strRef>
                  <c:f>Area!$AS$37</c:f>
                  <c:strCache>
                    <c:ptCount val="1"/>
                    <c:pt idx="0">
                      <c:v>Business partner 14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{071D4947-5732-4572-8D40-1D6C9273954D}</c15:txfldGUID>
                      <c15:f>Area!$AS$37</c15:f>
                      <c15:dlblFieldTableCache>
                        <c:ptCount val="1"/>
                        <c:pt idx="0">
                          <c:v>Business partner 14</c:v>
                        </c:pt>
                      </c15:dlblFieldTableCache>
                    </c15:dlblFTEntry>
                  </c15:dlblFieldTable>
                  <c15:showDataLabelsRange val="0"/>
                </c:ext>
                <c:ext xmlns:c16="http://schemas.microsoft.com/office/drawing/2014/chart" uri="{C3380CC4-5D6E-409C-BE32-E72D297353CC}">
                  <c16:uniqueId val="{0000001A-2FCC-4A3F-9A92-3340BC47D276}"/>
                </c:ext>
              </c:extLst>
            </c:dLbl>
            <c:dLbl>
              <c:idx val="14"/>
              <c:tx>
                <c:strRef>
                  <c:f>Area!$AS$38</c:f>
                  <c:strCache>
                    <c:ptCount val="1"/>
                    <c:pt idx="0">
                      <c:v>Business partner 15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{5357398A-5AC0-47EA-A6BA-FAA7FD3EC1C5}</c15:txfldGUID>
                      <c15:f>Area!$AS$38</c15:f>
                      <c15:dlblFieldTableCache>
                        <c:ptCount val="1"/>
                        <c:pt idx="0">
                          <c:v>Business partner 15</c:v>
                        </c:pt>
                      </c15:dlblFieldTableCache>
                    </c15:dlblFTEntry>
                  </c15:dlblFieldTable>
                  <c15:showDataLabelsRange val="0"/>
                </c:ext>
                <c:ext xmlns:c16="http://schemas.microsoft.com/office/drawing/2014/chart" uri="{C3380CC4-5D6E-409C-BE32-E72D297353CC}">
                  <c16:uniqueId val="{0000001B-2FCC-4A3F-9A92-3340BC47D27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Area!$AQ$24:$AQ$38</c:f>
              <c:numCache>
                <c:formatCode>General</c:formatCode>
                <c:ptCount val="15"/>
                <c:pt idx="0">
                  <c:v>5</c:v>
                </c:pt>
                <c:pt idx="1">
                  <c:v>19</c:v>
                </c:pt>
                <c:pt idx="2">
                  <c:v>33</c:v>
                </c:pt>
                <c:pt idx="3">
                  <c:v>47</c:v>
                </c:pt>
                <c:pt idx="4">
                  <c:v>61</c:v>
                </c:pt>
                <c:pt idx="5">
                  <c:v>5</c:v>
                </c:pt>
                <c:pt idx="6">
                  <c:v>19</c:v>
                </c:pt>
                <c:pt idx="7">
                  <c:v>33</c:v>
                </c:pt>
                <c:pt idx="8">
                  <c:v>47</c:v>
                </c:pt>
                <c:pt idx="9">
                  <c:v>61</c:v>
                </c:pt>
                <c:pt idx="10">
                  <c:v>5</c:v>
                </c:pt>
                <c:pt idx="11">
                  <c:v>19</c:v>
                </c:pt>
                <c:pt idx="12">
                  <c:v>33</c:v>
                </c:pt>
                <c:pt idx="13">
                  <c:v>47</c:v>
                </c:pt>
                <c:pt idx="14">
                  <c:v>61</c:v>
                </c:pt>
              </c:numCache>
            </c:numRef>
          </c:xVal>
          <c:yVal>
            <c:numRef>
              <c:f>Area!$AR$24:$AR$38</c:f>
              <c:numCache>
                <c:formatCode>General</c:formatCode>
                <c:ptCount val="15"/>
                <c:pt idx="0">
                  <c:v>2.8499999999999996</c:v>
                </c:pt>
                <c:pt idx="1">
                  <c:v>2.8499999999999996</c:v>
                </c:pt>
                <c:pt idx="2">
                  <c:v>2.8499999999999996</c:v>
                </c:pt>
                <c:pt idx="3">
                  <c:v>2.8499999999999996</c:v>
                </c:pt>
                <c:pt idx="4">
                  <c:v>2.8499999999999996</c:v>
                </c:pt>
                <c:pt idx="5">
                  <c:v>1.8499999999999999</c:v>
                </c:pt>
                <c:pt idx="6">
                  <c:v>1.8499999999999999</c:v>
                </c:pt>
                <c:pt idx="7">
                  <c:v>1.8499999999999999</c:v>
                </c:pt>
                <c:pt idx="8">
                  <c:v>1.8499999999999999</c:v>
                </c:pt>
                <c:pt idx="9">
                  <c:v>1.8499999999999999</c:v>
                </c:pt>
                <c:pt idx="10">
                  <c:v>0.85</c:v>
                </c:pt>
                <c:pt idx="11">
                  <c:v>0.85</c:v>
                </c:pt>
                <c:pt idx="12">
                  <c:v>0.85</c:v>
                </c:pt>
                <c:pt idx="13">
                  <c:v>0.85</c:v>
                </c:pt>
                <c:pt idx="14">
                  <c:v>0.85</c:v>
                </c:pt>
              </c:numCache>
            </c:numRef>
          </c:yVal>
          <c:smooth val="0"/>
          <c:extLst>
            <c:ext xmlns:c16="http://schemas.microsoft.com/office/drawing/2014/chart" uri="{C3380CC4-5D6E-409C-BE32-E72D297353CC}">
              <c16:uniqueId val="{0000000B-2FCC-4A3F-9A92-3340BC47D276}"/>
            </c:ext>
          </c:extLst>
        </c:ser>
        <c:ser>
          <c:idx val="11"/>
          <c:order val="11"/>
          <c:tx>
            <c:v>ytick</c:v>
          </c:tx>
          <c:spPr>
            <a:ln w="38100">
              <a:noFill/>
            </a:ln>
          </c:spPr>
          <c:marker>
            <c:symbol val="none"/>
          </c:marker>
          <c:dLbls>
            <c:dLbl>
              <c:idx val="0"/>
              <c:tx>
                <c:strRef>
                  <c:f>Area!$AW$24</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{DB2BF077-E171-4EF9-A16D-069A8C199DC2}</c15:txfldGUID>
                      <c15:f>Area!$AW$24</c15:f>
                      <c15:dlblFieldTableCache>
                        <c:ptCount val="1"/>
                        <c:pt idx="0">
                          <c:v>0</c:v>
                        </c:pt>
                      </c15:dlblFieldTableCache>
                    </c15:dlblFTEntry>
                  </c15:dlblFieldTable>
                  <c15:showDataLabelsRange val="0"/>
                </c:ext>
                <c:ext xmlns:c16="http://schemas.microsoft.com/office/drawing/2014/chart" uri="{C3380CC4-5D6E-409C-BE32-E72D297353CC}">
                  <c16:uniqueId val="{0000001C-2FCC-4A3F-9A92-3340BC47D276}"/>
                </c:ext>
              </c:extLst>
            </c:dLbl>
            <c:dLbl>
              <c:idx val="1"/>
              <c:tx>
                <c:strRef>
                  <c:f>Area!$AW$25</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{13F93A5B-6596-47AD-B2AA-1292147A9AE4}</c15:txfldGUID>
                      <c15:f>Area!$AW$25</c15:f>
                      <c15:dlblFieldTableCache>
                        <c:ptCount val="1"/>
                        <c:pt idx="0">
                          <c:v>750</c:v>
                        </c:pt>
                      </c15:dlblFieldTableCache>
                    </c15:dlblFTEntry>
                  </c15:dlblFieldTable>
                  <c15:showDataLabelsRange val="0"/>
                </c:ext>
                <c:ext xmlns:c16="http://schemas.microsoft.com/office/drawing/2014/chart" uri="{C3380CC4-5D6E-409C-BE32-E72D297353CC}">
                  <c16:uniqueId val="{0000001D-2FCC-4A3F-9A92-3340BC47D276}"/>
                </c:ext>
              </c:extLst>
            </c:dLbl>
            <c:dLbl>
              <c:idx val="2"/>
              <c:tx>
                <c:strRef>
                  <c:f>Area!$AW$26</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{3806C5EC-278B-46E2-B850-B09DB425E0B1}</c15:txfldGUID>
                      <c15:f>Area!$AW$26</c15:f>
                      <c15:dlblFieldTableCache>
                        <c:ptCount val="1"/>
                        <c:pt idx="0">
                          <c:v>1,500</c:v>
                        </c:pt>
                      </c15:dlblFieldTableCache>
                    </c15:dlblFTEntry>
                  </c15:dlblFieldTable>
                  <c15:showDataLabelsRange val="0"/>
                </c:ext>
                <c:ext xmlns:c16="http://schemas.microsoft.com/office/drawing/2014/chart" uri="{C3380CC4-5D6E-409C-BE32-E72D297353CC}">
                  <c16:uniqueId val="{0000001E-2FCC-4A3F-9A92-3340BC47D276}"/>
                </c:ext>
              </c:extLst>
            </c:dLbl>
            <c:dLbl>
              <c:idx val="3"/>
              <c:tx>
                <c:strRef>
                  <c:f>Area!$AW$27</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{EA032997-7B96-41FE-8B18-45D6DA60C99B}</c15:txfldGUID>
                      <c15:f>Area!$AW$27</c15:f>
                      <c15:dlblFieldTableCache>
                        <c:ptCount val="1"/>
                        <c:pt idx="0">
                          <c:v>0</c:v>
                        </c:pt>
                      </c15:dlblFieldTableCache>
                    </c15:dlblFTEntry>
                  </c15:dlblFieldTable>
                  <c15:showDataLabelsRange val="0"/>
                </c:ext>
                <c:ext xmlns:c16="http://schemas.microsoft.com/office/drawing/2014/chart" uri="{C3380CC4-5D6E-409C-BE32-E72D297353CC}">
                  <c16:uniqueId val="{0000001F-2FCC-4A3F-9A92-3340BC47D276}"/>
                </c:ext>
              </c:extLst>
            </c:dLbl>
            <c:dLbl>
              <c:idx val="4"/>
              <c:tx>
                <c:strRef>
                  <c:f>Area!$AW$28</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{0902E200-D6EF-466F-B9A1-734FE349157B}</c15:txfldGUID>
                      <c15:f>Area!$AW$28</c15:f>
                      <c15:dlblFieldTableCache>
                        <c:ptCount val="1"/>
                        <c:pt idx="0">
                          <c:v>750</c:v>
                        </c:pt>
                      </c15:dlblFieldTableCache>
                    </c15:dlblFTEntry>
                  </c15:dlblFieldTable>
                  <c15:showDataLabelsRange val="0"/>
                </c:ext>
                <c:ext xmlns:c16="http://schemas.microsoft.com/office/drawing/2014/chart" uri="{C3380CC4-5D6E-409C-BE32-E72D297353CC}">
                  <c16:uniqueId val="{00000020-2FCC-4A3F-9A92-3340BC47D276}"/>
                </c:ext>
              </c:extLst>
            </c:dLbl>
            <c:dLbl>
              <c:idx val="5"/>
              <c:tx>
                <c:strRef>
                  <c:f>Area!$AW$29</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{FC14D2AE-ECE2-4A4A-A428-2F07F00E3615}</c15:txfldGUID>
                      <c15:f>Area!$AW$29</c15:f>
                      <c15:dlblFieldTableCache>
                        <c:ptCount val="1"/>
                        <c:pt idx="0">
                          <c:v>1,500</c:v>
                        </c:pt>
                      </c15:dlblFieldTableCache>
                    </c15:dlblFTEntry>
                  </c15:dlblFieldTable>
                  <c15:showDataLabelsRange val="0"/>
                </c:ext>
                <c:ext xmlns:c16="http://schemas.microsoft.com/office/drawing/2014/chart" uri="{C3380CC4-5D6E-409C-BE32-E72D297353CC}">
                  <c16:uniqueId val="{00000021-2FCC-4A3F-9A92-3340BC47D276}"/>
                </c:ext>
              </c:extLst>
            </c:dLbl>
            <c:dLbl>
              <c:idx val="6"/>
              <c:tx>
                <c:strRef>
                  <c:f>Area!$AW$30</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{9A0A0991-F9E7-44F5-BC7B-B7031534ECB5}</c15:txfldGUID>
                      <c15:f>Area!$AW$30</c15:f>
                      <c15:dlblFieldTableCache>
                        <c:ptCount val="1"/>
                        <c:pt idx="0">
                          <c:v>0</c:v>
                        </c:pt>
                      </c15:dlblFieldTableCache>
                    </c15:dlblFTEntry>
                  </c15:dlblFieldTable>
                  <c15:showDataLabelsRange val="0"/>
                </c:ext>
                <c:ext xmlns:c16="http://schemas.microsoft.com/office/drawing/2014/chart" uri="{C3380CC4-5D6E-409C-BE32-E72D297353CC}">
                  <c16:uniqueId val="{00000022-2FCC-4A3F-9A92-3340BC47D276}"/>
                </c:ext>
              </c:extLst>
            </c:dLbl>
            <c:dLbl>
              <c:idx val="7"/>
              <c:tx>
                <c:strRef>
                  <c:f>Area!$AW$31</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{D4C05F3C-185C-4BD1-8FCF-046ADFF5DA52}</c15:txfldGUID>
                      <c15:f>Area!$AW$31</c15:f>
                      <c15:dlblFieldTableCache>
                        <c:ptCount val="1"/>
                        <c:pt idx="0">
                          <c:v>750</c:v>
                        </c:pt>
                      </c15:dlblFieldTableCache>
                    </c15:dlblFTEntry>
                  </c15:dlblFieldTable>
                  <c15:showDataLabelsRange val="0"/>
                </c:ext>
                <c:ext xmlns:c16="http://schemas.microsoft.com/office/drawing/2014/chart" uri="{C3380CC4-5D6E-409C-BE32-E72D297353CC}">
                  <c16:uniqueId val="{00000023-2FCC-4A3F-9A92-3340BC47D276}"/>
                </c:ext>
              </c:extLst>
            </c:dLbl>
            <c:dLbl>
              <c:idx val="8"/>
              <c:tx>
                <c:strRef>
                  <c:f>Area!$AW$32</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{35B282BD-0947-4B36-B0E0-662E833B1038}</c15:txfldGUID>
                      <c15:f>Area!$AW$32</c15:f>
                      <c15:dlblFieldTableCache>
                        <c:ptCount val="1"/>
                        <c:pt idx="0">
                          <c:v>1,500</c:v>
                        </c:pt>
                      </c15:dlblFieldTableCache>
                    </c15:dlblFTEntry>
                  </c15:dlblFieldTable>
                  <c15:showDataLabelsRange val="0"/>
                </c:ext>
                <c:ext xmlns:c16="http://schemas.microsoft.com/office/drawing/2014/chart" uri="{C3380CC4-5D6E-409C-BE32-E72D297353CC}">
                  <c16:uniqueId val="{00000024-2FCC-4A3F-9A92-3340BC47D27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Area!$AU$24:$AU$32</c:f>
              <c:numCache>
                <c:formatCode>General</c:formatCode>
                <c:ptCount val="9"/>
                <c:pt idx="0">
                  <c:v>4.3499999999999996</c:v>
                </c:pt>
                <c:pt idx="1">
                  <c:v>4.3499999999999996</c:v>
                </c:pt>
                <c:pt idx="2">
                  <c:v>4.3499999999999996</c:v>
                </c:pt>
                <c:pt idx="3">
                  <c:v>4.3499999999999996</c:v>
                </c:pt>
                <c:pt idx="4">
                  <c:v>4.3499999999999996</c:v>
                </c:pt>
                <c:pt idx="5">
                  <c:v>4.3499999999999996</c:v>
                </c:pt>
                <c:pt idx="6">
                  <c:v>4.3499999999999996</c:v>
                </c:pt>
                <c:pt idx="7">
                  <c:v>4.3499999999999996</c:v>
                </c:pt>
                <c:pt idx="8">
                  <c:v>4.3499999999999996</c:v>
                </c:pt>
              </c:numCache>
            </c:numRef>
          </c:xVal>
          <c:yVal>
            <c:numRef>
              <c:f>Area!$AV$24:$AV$32</c:f>
              <c:numCache>
                <c:formatCode>General</c:formatCode>
                <c:ptCount val="9"/>
                <c:pt idx="0">
                  <c:v>0</c:v>
                </c:pt>
                <c:pt idx="1">
                  <c:v>0.41</c:v>
                </c:pt>
                <c:pt idx="2">
                  <c:v>0.82</c:v>
                </c:pt>
                <c:pt idx="3">
                  <c:v>1</c:v>
                </c:pt>
                <c:pt idx="4">
                  <c:v>1.41</c:v>
                </c:pt>
                <c:pt idx="5">
                  <c:v>1.8199999999999998</c:v>
                </c:pt>
                <c:pt idx="6">
                  <c:v>2</c:v>
                </c:pt>
                <c:pt idx="7">
                  <c:v>2.41</c:v>
                </c:pt>
                <c:pt idx="8">
                  <c:v>2.82</c:v>
                </c:pt>
              </c:numCache>
            </c:numRef>
          </c:yVal>
          <c:smooth val="0"/>
          <c:extLst>
            <c:ext xmlns:c16="http://schemas.microsoft.com/office/drawing/2014/chart" uri="{C3380CC4-5D6E-409C-BE32-E72D297353CC}">
              <c16:uniqueId val="{0000000C-2FCC-4A3F-9A92-3340BC47D276}"/>
            </c:ext>
          </c:extLst>
        </c:ser>
        <c:dLbls>
          <c:showLegendKey val="0"/>
          <c:showVal val="0"/>
          <c:showCatName val="0"/>
          <c:showSerName val="0"/>
          <c:showPercent val="0"/>
          <c:showBubbleSize val="0"/>
        </c:dLbls>
        <c:axId val="1904715663"/>
        <c:axId val="1904717583"/>
      </c:scatterChart>
      <c:catAx>
        <c:axId val="2021377199"/>
        <c:scaling>
          <c:orientation val="minMax"/>
        </c:scaling>
        <c:delete val="0"/>
        <c:axPos val="b"/>
        <c:numFmt formatCode="General" sourceLinked="1"/>
        <c:majorTickMark val="none"/>
        <c:minorTickMark val="none"/>
        <c:tickLblPos val="low"/>
        <c:spPr>
          <a:ln>
            <a:solidFill>
              <a:srgbClr val="A6A6A6"/>
            </a:solidFill>
          </a:ln>
        </c:spPr>
        <c:txPr>
          <a:bodyPr/>
          <a:lstStyle/>
          <a:p>
            <a:pPr>
              <a:defRPr sz="800"/>
            </a:pPr>
            <a:endParaRPr lang="en-US"/>
          </a:p>
        </c:txPr>
        <c:crossAx val="1904721903"/>
        <c:crosses val="autoZero"/>
        <c:auto val="1"/>
        <c:lblAlgn val="ctr"/>
        <c:lblOffset val="100"/>
        <c:noMultiLvlLbl val="0"/>
      </c:catAx>
      <c:valAx>
        <c:axId val="1904721903"/>
        <c:scaling>
          <c:orientation val="minMax"/>
          <c:max val="3"/>
          <c:min val="0"/>
        </c:scaling>
        <c:delete val="0"/>
        <c:axPos val="l"/>
        <c:numFmt formatCode="#,##0.000"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2021377199"/>
        <c:crosses val="autoZero"/>
        <c:crossBetween val="between"/>
      </c:valAx>
      <c:valAx>
        <c:axId val="1904717583"/>
        <c:scaling>
          <c:orientation val="minMax"/>
          <c:max val="3"/>
          <c:min val="0"/>
        </c:scaling>
        <c:delete val="0"/>
        <c:axPos val="r"/>
        <c:numFmt formatCode="General"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1904715663"/>
        <c:crosses val="max"/>
        <c:crossBetween val="midCat"/>
      </c:valAx>
      <c:valAx>
        <c:axId val="1904715663"/>
        <c:scaling>
          <c:orientation val="minMax"/>
          <c:max val="72.5"/>
          <c:min val="0.5"/>
        </c:scaling>
        <c:delete val="1"/>
        <c:axPos val="b"/>
        <c:numFmt formatCode="General" sourceLinked="1"/>
        <c:majorTickMark val="none"/>
        <c:minorTickMark val="none"/>
        <c:tickLblPos val="none"/>
        <c:crossAx val="1904717583"/>
        <c:crossBetween val="midCat"/>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a:pPr>
            <a:r>
              <a:rPr lang="en-US"/>
              <a:t>Revenue by business partner</a:t>
            </a:r>
          </a:p>
        </c:rich>
      </c:tx>
      <c:overlay val="0"/>
    </c:title>
    <c:autoTitleDeleted val="0"/>
    <c:plotArea>
      <c:layout/>
      <c:barChart>
        <c:barDir val="bar"/>
        <c:grouping val="stacked"/>
        <c:varyColors val="0"/>
        <c:ser>
          <c:idx val="0"/>
          <c:order val="0"/>
          <c:tx>
            <c:v> </c:v>
          </c:tx>
          <c:spPr>
            <a:noFill/>
            <a:ln>
              <a:noFill/>
            </a:ln>
            <a:effectLst/>
            <a:extLst>
              <a:ext uri="{909E8E84-426E-40DD-AFC4-6F175D3DCCD1}">
                <a14:hiddenFill xmlns:a14="http://schemas.microsoft.com/office/drawing/2010/main">
                  <a:solidFill>
                    <a:srgbClr val="156082"/>
                  </a:solidFill>
                </a14:hiddenFill>
              </a:ext>
              <a:ext uri="{91240B29-F687-4F45-9708-019B960494DF}">
                <a14:hiddenLine xmlns:a14="http://schemas.microsoft.com/office/drawing/2010/main">
                  <a:noFill/>
                </a14:hiddenLine>
              </a:ext>
            </a:extLst>
          </c:spPr>
          <c:invertIfNegative val="0"/>
          <c:cat>
            <c:strRef>
              <c:f>Bar!$Y$24:$Y$53</c:f>
              <c:strCache>
                <c:ptCount val="28"/>
                <c:pt idx="2">
                  <c:v>Dec</c:v>
                </c:pt>
                <c:pt idx="3">
                  <c:v>Nov</c:v>
                </c:pt>
                <c:pt idx="4">
                  <c:v>Oct</c:v>
                </c:pt>
                <c:pt idx="5">
                  <c:v>Sep</c:v>
                </c:pt>
                <c:pt idx="6">
                  <c:v>Aug</c:v>
                </c:pt>
                <c:pt idx="7">
                  <c:v>Jul</c:v>
                </c:pt>
                <c:pt idx="8">
                  <c:v>Jun</c:v>
                </c:pt>
                <c:pt idx="9">
                  <c:v>May</c:v>
                </c:pt>
                <c:pt idx="10">
                  <c:v>Apr</c:v>
                </c:pt>
                <c:pt idx="11">
                  <c:v>Mar</c:v>
                </c:pt>
                <c:pt idx="12">
                  <c:v>Feb</c:v>
                </c:pt>
                <c:pt idx="13">
                  <c:v>Jan</c:v>
                </c:pt>
                <c:pt idx="16">
                  <c:v>Dec</c:v>
                </c:pt>
                <c:pt idx="17">
                  <c:v>Nov</c:v>
                </c:pt>
                <c:pt idx="18">
                  <c:v>Oct</c:v>
                </c:pt>
                <c:pt idx="19">
                  <c:v>Sep</c:v>
                </c:pt>
                <c:pt idx="20">
                  <c:v>Aug</c:v>
                </c:pt>
                <c:pt idx="21">
                  <c:v>Jul</c:v>
                </c:pt>
                <c:pt idx="22">
                  <c:v>Jun</c:v>
                </c:pt>
                <c:pt idx="23">
                  <c:v>May</c:v>
                </c:pt>
                <c:pt idx="24">
                  <c:v>Apr</c:v>
                </c:pt>
                <c:pt idx="25">
                  <c:v>Mar</c:v>
                </c:pt>
                <c:pt idx="26">
                  <c:v>Feb</c:v>
                </c:pt>
                <c:pt idx="27">
                  <c:v>Jan</c:v>
                </c:pt>
              </c:strCache>
            </c:strRef>
          </c:cat>
          <c:val>
            <c:numRef>
              <c:f>Bar!$Z$24:$Z$53</c:f>
              <c:numCache>
                <c:formatCode>#,##0.000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1-22A1-4B72-BEEA-94DBC880C91C}"/>
            </c:ext>
          </c:extLst>
        </c:ser>
        <c:ser>
          <c:idx val="1"/>
          <c:order val="1"/>
          <c:tx>
            <c:v>Revenue</c:v>
          </c:tx>
          <c:spPr>
            <a:solidFill>
              <a:srgbClr val="1F4E79"/>
            </a:solidFill>
            <a:ln>
              <a:noFill/>
            </a:ln>
            <a:effectLst/>
            <a:extLst>
              <a:ext uri="{91240B29-F687-4F45-9708-019B960494DF}">
                <a14:hiddenLine xmlns:a14="http://schemas.microsoft.com/office/drawing/2010/main">
                  <a:noFill/>
                </a14:hiddenLine>
              </a:ext>
            </a:extLst>
          </c:spPr>
          <c:invertIfNegative val="0"/>
          <c:cat>
            <c:strRef>
              <c:f>Bar!$Y$24:$Y$53</c:f>
              <c:strCache>
                <c:ptCount val="28"/>
                <c:pt idx="2">
                  <c:v>Dec</c:v>
                </c:pt>
                <c:pt idx="3">
                  <c:v>Nov</c:v>
                </c:pt>
                <c:pt idx="4">
                  <c:v>Oct</c:v>
                </c:pt>
                <c:pt idx="5">
                  <c:v>Sep</c:v>
                </c:pt>
                <c:pt idx="6">
                  <c:v>Aug</c:v>
                </c:pt>
                <c:pt idx="7">
                  <c:v>Jul</c:v>
                </c:pt>
                <c:pt idx="8">
                  <c:v>Jun</c:v>
                </c:pt>
                <c:pt idx="9">
                  <c:v>May</c:v>
                </c:pt>
                <c:pt idx="10">
                  <c:v>Apr</c:v>
                </c:pt>
                <c:pt idx="11">
                  <c:v>Mar</c:v>
                </c:pt>
                <c:pt idx="12">
                  <c:v>Feb</c:v>
                </c:pt>
                <c:pt idx="13">
                  <c:v>Jan</c:v>
                </c:pt>
                <c:pt idx="16">
                  <c:v>Dec</c:v>
                </c:pt>
                <c:pt idx="17">
                  <c:v>Nov</c:v>
                </c:pt>
                <c:pt idx="18">
                  <c:v>Oct</c:v>
                </c:pt>
                <c:pt idx="19">
                  <c:v>Sep</c:v>
                </c:pt>
                <c:pt idx="20">
                  <c:v>Aug</c:v>
                </c:pt>
                <c:pt idx="21">
                  <c:v>Jul</c:v>
                </c:pt>
                <c:pt idx="22">
                  <c:v>Jun</c:v>
                </c:pt>
                <c:pt idx="23">
                  <c:v>May</c:v>
                </c:pt>
                <c:pt idx="24">
                  <c:v>Apr</c:v>
                </c:pt>
                <c:pt idx="25">
                  <c:v>Mar</c:v>
                </c:pt>
                <c:pt idx="26">
                  <c:v>Feb</c:v>
                </c:pt>
                <c:pt idx="27">
                  <c:v>Jan</c:v>
                </c:pt>
              </c:strCache>
            </c:strRef>
          </c:cat>
          <c:val>
            <c:numRef>
              <c:f>Bar!$AA$24:$AA$53</c:f>
              <c:numCache>
                <c:formatCode>General</c:formatCode>
                <c:ptCount val="30"/>
                <c:pt idx="0">
                  <c:v>#N/A</c:v>
                </c:pt>
                <c:pt idx="1">
                  <c:v>#N/A</c:v>
                </c:pt>
                <c:pt idx="2">
                  <c:v>0.32264266666666669</c:v>
                </c:pt>
                <c:pt idx="3">
                  <c:v>0.38129999999999997</c:v>
                </c:pt>
                <c:pt idx="4">
                  <c:v>0.34155733333333327</c:v>
                </c:pt>
                <c:pt idx="5">
                  <c:v>0.30175999999999997</c:v>
                </c:pt>
                <c:pt idx="6">
                  <c:v>0.36036266666666666</c:v>
                </c:pt>
                <c:pt idx="7">
                  <c:v>0.32062000000000002</c:v>
                </c:pt>
                <c:pt idx="8">
                  <c:v>0.28087733333333331</c:v>
                </c:pt>
                <c:pt idx="9">
                  <c:v>0.33947999999999995</c:v>
                </c:pt>
                <c:pt idx="10">
                  <c:v>0.29968266666666671</c:v>
                </c:pt>
                <c:pt idx="11">
                  <c:v>0.25994</c:v>
                </c:pt>
                <c:pt idx="12">
                  <c:v>0.31859733333333329</c:v>
                </c:pt>
                <c:pt idx="13">
                  <c:v>0.27879999999999999</c:v>
                </c:pt>
                <c:pt idx="14">
                  <c:v>#N/A</c:v>
                </c:pt>
                <c:pt idx="15">
                  <c:v>#N/A</c:v>
                </c:pt>
                <c:pt idx="16">
                  <c:v>0.57995866666666662</c:v>
                </c:pt>
                <c:pt idx="17">
                  <c:v>0.53638933333333327</c:v>
                </c:pt>
                <c:pt idx="18">
                  <c:v>0.49287466666666663</c:v>
                </c:pt>
                <c:pt idx="19">
                  <c:v>0.54776000000000002</c:v>
                </c:pt>
                <c:pt idx="20">
                  <c:v>0.50424533333333332</c:v>
                </c:pt>
                <c:pt idx="21">
                  <c:v>0.46067600000000003</c:v>
                </c:pt>
                <c:pt idx="22">
                  <c:v>0.51556133333333332</c:v>
                </c:pt>
                <c:pt idx="23">
                  <c:v>0.47204666666666661</c:v>
                </c:pt>
                <c:pt idx="24">
                  <c:v>0.42853199999999991</c:v>
                </c:pt>
                <c:pt idx="25">
                  <c:v>0.48336266666666666</c:v>
                </c:pt>
                <c:pt idx="26">
                  <c:v>0.43984799999999996</c:v>
                </c:pt>
                <c:pt idx="27">
                  <c:v>0.39633333333333332</c:v>
                </c:pt>
                <c:pt idx="28">
                  <c:v>#N/A</c:v>
                </c:pt>
                <c:pt idx="29">
                  <c:v>#N/A</c:v>
                </c:pt>
              </c:numCache>
            </c:numRef>
          </c:val>
          <c:extLst>
            <c:ext xmlns:c16="http://schemas.microsoft.com/office/drawing/2014/chart" uri="{C3380CC4-5D6E-409C-BE32-E72D297353CC}">
              <c16:uniqueId val="{00000002-22A1-4B72-BEEA-94DBC880C91C}"/>
            </c:ext>
          </c:extLst>
        </c:ser>
        <c:ser>
          <c:idx val="2"/>
          <c:order val="2"/>
          <c:tx>
            <c:v> </c:v>
          </c:tx>
          <c:spPr>
            <a:noFill/>
            <a:ln>
              <a:noFill/>
            </a:ln>
            <a:effectLst/>
            <a:extLst>
              <a:ext uri="{909E8E84-426E-40DD-AFC4-6F175D3DCCD1}">
                <a14:hiddenFill xmlns:a14="http://schemas.microsoft.com/office/drawing/2010/main">
                  <a:solidFill>
                    <a:srgbClr val="196B24"/>
                  </a:solidFill>
                </a14:hiddenFill>
              </a:ext>
              <a:ext uri="{91240B29-F687-4F45-9708-019B960494DF}">
                <a14:hiddenLine xmlns:a14="http://schemas.microsoft.com/office/drawing/2010/main">
                  <a:noFill/>
                </a14:hiddenLine>
              </a:ext>
            </a:extLst>
          </c:spPr>
          <c:invertIfNegative val="0"/>
          <c:cat>
            <c:strRef>
              <c:f>Bar!$Y$24:$Y$53</c:f>
              <c:strCache>
                <c:ptCount val="28"/>
                <c:pt idx="2">
                  <c:v>Dec</c:v>
                </c:pt>
                <c:pt idx="3">
                  <c:v>Nov</c:v>
                </c:pt>
                <c:pt idx="4">
                  <c:v>Oct</c:v>
                </c:pt>
                <c:pt idx="5">
                  <c:v>Sep</c:v>
                </c:pt>
                <c:pt idx="6">
                  <c:v>Aug</c:v>
                </c:pt>
                <c:pt idx="7">
                  <c:v>Jul</c:v>
                </c:pt>
                <c:pt idx="8">
                  <c:v>Jun</c:v>
                </c:pt>
                <c:pt idx="9">
                  <c:v>May</c:v>
                </c:pt>
                <c:pt idx="10">
                  <c:v>Apr</c:v>
                </c:pt>
                <c:pt idx="11">
                  <c:v>Mar</c:v>
                </c:pt>
                <c:pt idx="12">
                  <c:v>Feb</c:v>
                </c:pt>
                <c:pt idx="13">
                  <c:v>Jan</c:v>
                </c:pt>
                <c:pt idx="16">
                  <c:v>Dec</c:v>
                </c:pt>
                <c:pt idx="17">
                  <c:v>Nov</c:v>
                </c:pt>
                <c:pt idx="18">
                  <c:v>Oct</c:v>
                </c:pt>
                <c:pt idx="19">
                  <c:v>Sep</c:v>
                </c:pt>
                <c:pt idx="20">
                  <c:v>Aug</c:v>
                </c:pt>
                <c:pt idx="21">
                  <c:v>Jul</c:v>
                </c:pt>
                <c:pt idx="22">
                  <c:v>Jun</c:v>
                </c:pt>
                <c:pt idx="23">
                  <c:v>May</c:v>
                </c:pt>
                <c:pt idx="24">
                  <c:v>Apr</c:v>
                </c:pt>
                <c:pt idx="25">
                  <c:v>Mar</c:v>
                </c:pt>
                <c:pt idx="26">
                  <c:v>Feb</c:v>
                </c:pt>
                <c:pt idx="27">
                  <c:v>Jan</c:v>
                </c:pt>
              </c:strCache>
            </c:strRef>
          </c:cat>
          <c:val>
            <c:numRef>
              <c:f>Bar!$AB$24:$AB$53</c:f>
              <c:numCache>
                <c:formatCode>#,##0.000</c:formatCode>
                <c:ptCount val="30"/>
                <c:pt idx="0">
                  <c:v>1</c:v>
                </c:pt>
                <c:pt idx="1">
                  <c:v>1</c:v>
                </c:pt>
                <c:pt idx="2">
                  <c:v>0.67735733333333337</c:v>
                </c:pt>
                <c:pt idx="3">
                  <c:v>0.61870000000000003</c:v>
                </c:pt>
                <c:pt idx="4">
                  <c:v>0.65844266666666673</c:v>
                </c:pt>
                <c:pt idx="5">
                  <c:v>0.69823999999999997</c:v>
                </c:pt>
                <c:pt idx="6">
                  <c:v>0.63963733333333339</c:v>
                </c:pt>
                <c:pt idx="7">
                  <c:v>0.67937999999999998</c:v>
                </c:pt>
                <c:pt idx="8">
                  <c:v>0.71912266666666669</c:v>
                </c:pt>
                <c:pt idx="9">
                  <c:v>0.66052</c:v>
                </c:pt>
                <c:pt idx="10">
                  <c:v>0.70031733333333324</c:v>
                </c:pt>
                <c:pt idx="11">
                  <c:v>0.74005999999999994</c:v>
                </c:pt>
                <c:pt idx="12">
                  <c:v>0.68140266666666671</c:v>
                </c:pt>
                <c:pt idx="13">
                  <c:v>0.72120000000000006</c:v>
                </c:pt>
                <c:pt idx="14">
                  <c:v>1</c:v>
                </c:pt>
                <c:pt idx="15">
                  <c:v>1</c:v>
                </c:pt>
                <c:pt idx="16">
                  <c:v>0.42004133333333338</c:v>
                </c:pt>
                <c:pt idx="17">
                  <c:v>0.46361066666666673</c:v>
                </c:pt>
                <c:pt idx="18">
                  <c:v>0.50712533333333343</c:v>
                </c:pt>
                <c:pt idx="19">
                  <c:v>0.45223999999999998</c:v>
                </c:pt>
                <c:pt idx="20">
                  <c:v>0.49575466666666668</c:v>
                </c:pt>
                <c:pt idx="21">
                  <c:v>0.53932399999999991</c:v>
                </c:pt>
                <c:pt idx="22">
                  <c:v>0.48443866666666668</c:v>
                </c:pt>
                <c:pt idx="23">
                  <c:v>0.52795333333333339</c:v>
                </c:pt>
                <c:pt idx="24">
                  <c:v>0.57146800000000009</c:v>
                </c:pt>
                <c:pt idx="25">
                  <c:v>0.51663733333333339</c:v>
                </c:pt>
                <c:pt idx="26">
                  <c:v>0.56015199999999998</c:v>
                </c:pt>
                <c:pt idx="27">
                  <c:v>0.60366666666666668</c:v>
                </c:pt>
                <c:pt idx="28">
                  <c:v>1</c:v>
                </c:pt>
                <c:pt idx="29">
                  <c:v>1</c:v>
                </c:pt>
              </c:numCache>
            </c:numRef>
          </c:val>
          <c:extLst>
            <c:ext xmlns:c16="http://schemas.microsoft.com/office/drawing/2014/chart" uri="{C3380CC4-5D6E-409C-BE32-E72D297353CC}">
              <c16:uniqueId val="{00000003-22A1-4B72-BEEA-94DBC880C91C}"/>
            </c:ext>
          </c:extLst>
        </c:ser>
        <c:ser>
          <c:idx val="3"/>
          <c:order val="3"/>
          <c:tx>
            <c:v>Revenue</c:v>
          </c:tx>
          <c:spPr>
            <a:solidFill>
              <a:srgbClr val="1F4E79"/>
            </a:solidFill>
            <a:ln>
              <a:noFill/>
            </a:ln>
            <a:effectLst/>
            <a:extLst>
              <a:ext uri="{91240B29-F687-4F45-9708-019B960494DF}">
                <a14:hiddenLine xmlns:a14="http://schemas.microsoft.com/office/drawing/2010/main">
                  <a:noFill/>
                </a14:hiddenLine>
              </a:ext>
            </a:extLst>
          </c:spPr>
          <c:invertIfNegative val="0"/>
          <c:cat>
            <c:strRef>
              <c:f>Bar!$Y$24:$Y$53</c:f>
              <c:strCache>
                <c:ptCount val="28"/>
                <c:pt idx="2">
                  <c:v>Dec</c:v>
                </c:pt>
                <c:pt idx="3">
                  <c:v>Nov</c:v>
                </c:pt>
                <c:pt idx="4">
                  <c:v>Oct</c:v>
                </c:pt>
                <c:pt idx="5">
                  <c:v>Sep</c:v>
                </c:pt>
                <c:pt idx="6">
                  <c:v>Aug</c:v>
                </c:pt>
                <c:pt idx="7">
                  <c:v>Jul</c:v>
                </c:pt>
                <c:pt idx="8">
                  <c:v>Jun</c:v>
                </c:pt>
                <c:pt idx="9">
                  <c:v>May</c:v>
                </c:pt>
                <c:pt idx="10">
                  <c:v>Apr</c:v>
                </c:pt>
                <c:pt idx="11">
                  <c:v>Mar</c:v>
                </c:pt>
                <c:pt idx="12">
                  <c:v>Feb</c:v>
                </c:pt>
                <c:pt idx="13">
                  <c:v>Jan</c:v>
                </c:pt>
                <c:pt idx="16">
                  <c:v>Dec</c:v>
                </c:pt>
                <c:pt idx="17">
                  <c:v>Nov</c:v>
                </c:pt>
                <c:pt idx="18">
                  <c:v>Oct</c:v>
                </c:pt>
                <c:pt idx="19">
                  <c:v>Sep</c:v>
                </c:pt>
                <c:pt idx="20">
                  <c:v>Aug</c:v>
                </c:pt>
                <c:pt idx="21">
                  <c:v>Jul</c:v>
                </c:pt>
                <c:pt idx="22">
                  <c:v>Jun</c:v>
                </c:pt>
                <c:pt idx="23">
                  <c:v>May</c:v>
                </c:pt>
                <c:pt idx="24">
                  <c:v>Apr</c:v>
                </c:pt>
                <c:pt idx="25">
                  <c:v>Mar</c:v>
                </c:pt>
                <c:pt idx="26">
                  <c:v>Feb</c:v>
                </c:pt>
                <c:pt idx="27">
                  <c:v>Jan</c:v>
                </c:pt>
              </c:strCache>
            </c:strRef>
          </c:cat>
          <c:val>
            <c:numRef>
              <c:f>Bar!$AC$24:$AC$53</c:f>
              <c:numCache>
                <c:formatCode>General</c:formatCode>
                <c:ptCount val="30"/>
                <c:pt idx="0">
                  <c:v>#N/A</c:v>
                </c:pt>
                <c:pt idx="1">
                  <c:v>#N/A</c:v>
                </c:pt>
                <c:pt idx="2">
                  <c:v>0.62380133333333321</c:v>
                </c:pt>
                <c:pt idx="3">
                  <c:v>0.57881066666666658</c:v>
                </c:pt>
                <c:pt idx="4">
                  <c:v>0.63216533333333336</c:v>
                </c:pt>
                <c:pt idx="5">
                  <c:v>0.58711999999999998</c:v>
                </c:pt>
                <c:pt idx="6">
                  <c:v>0.5420746666666667</c:v>
                </c:pt>
                <c:pt idx="7">
                  <c:v>0.59542933333333337</c:v>
                </c:pt>
                <c:pt idx="8">
                  <c:v>0.55043866666666663</c:v>
                </c:pt>
                <c:pt idx="9">
                  <c:v>0.50539333333333325</c:v>
                </c:pt>
                <c:pt idx="10">
                  <c:v>0.55874800000000002</c:v>
                </c:pt>
                <c:pt idx="11">
                  <c:v>0.51375733333333329</c:v>
                </c:pt>
                <c:pt idx="12">
                  <c:v>0.46871199999999996</c:v>
                </c:pt>
                <c:pt idx="13">
                  <c:v>0.52206666666666668</c:v>
                </c:pt>
                <c:pt idx="14">
                  <c:v>#N/A</c:v>
                </c:pt>
                <c:pt idx="15">
                  <c:v>#N/A</c:v>
                </c:pt>
                <c:pt idx="16">
                  <c:v>0.3610186666666666</c:v>
                </c:pt>
                <c:pt idx="17">
                  <c:v>0.41885600000000001</c:v>
                </c:pt>
                <c:pt idx="18">
                  <c:v>0.37834800000000002</c:v>
                </c:pt>
                <c:pt idx="19">
                  <c:v>0.33783999999999997</c:v>
                </c:pt>
                <c:pt idx="20">
                  <c:v>0.39573199999999997</c:v>
                </c:pt>
                <c:pt idx="21">
                  <c:v>0.35522399999999998</c:v>
                </c:pt>
                <c:pt idx="22">
                  <c:v>0.31466133333333335</c:v>
                </c:pt>
                <c:pt idx="23">
                  <c:v>0.37255333333333329</c:v>
                </c:pt>
                <c:pt idx="24">
                  <c:v>0.3320453333333333</c:v>
                </c:pt>
                <c:pt idx="25">
                  <c:v>0.29148266666666667</c:v>
                </c:pt>
                <c:pt idx="26">
                  <c:v>0.34937466666666667</c:v>
                </c:pt>
                <c:pt idx="27">
                  <c:v>0.30886666666666662</c:v>
                </c:pt>
                <c:pt idx="28">
                  <c:v>#N/A</c:v>
                </c:pt>
                <c:pt idx="29">
                  <c:v>#N/A</c:v>
                </c:pt>
              </c:numCache>
            </c:numRef>
          </c:val>
          <c:extLst>
            <c:ext xmlns:c16="http://schemas.microsoft.com/office/drawing/2014/chart" uri="{C3380CC4-5D6E-409C-BE32-E72D297353CC}">
              <c16:uniqueId val="{00000004-22A1-4B72-BEEA-94DBC880C91C}"/>
            </c:ext>
          </c:extLst>
        </c:ser>
        <c:ser>
          <c:idx val="4"/>
          <c:order val="4"/>
          <c:tx>
            <c:v> </c:v>
          </c:tx>
          <c:spPr>
            <a:noFill/>
            <a:ln>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a:noFill/>
                </a14:hiddenLine>
              </a:ext>
            </a:extLst>
          </c:spPr>
          <c:invertIfNegative val="0"/>
          <c:cat>
            <c:strRef>
              <c:f>Bar!$Y$24:$Y$53</c:f>
              <c:strCache>
                <c:ptCount val="28"/>
                <c:pt idx="2">
                  <c:v>Dec</c:v>
                </c:pt>
                <c:pt idx="3">
                  <c:v>Nov</c:v>
                </c:pt>
                <c:pt idx="4">
                  <c:v>Oct</c:v>
                </c:pt>
                <c:pt idx="5">
                  <c:v>Sep</c:v>
                </c:pt>
                <c:pt idx="6">
                  <c:v>Aug</c:v>
                </c:pt>
                <c:pt idx="7">
                  <c:v>Jul</c:v>
                </c:pt>
                <c:pt idx="8">
                  <c:v>Jun</c:v>
                </c:pt>
                <c:pt idx="9">
                  <c:v>May</c:v>
                </c:pt>
                <c:pt idx="10">
                  <c:v>Apr</c:v>
                </c:pt>
                <c:pt idx="11">
                  <c:v>Mar</c:v>
                </c:pt>
                <c:pt idx="12">
                  <c:v>Feb</c:v>
                </c:pt>
                <c:pt idx="13">
                  <c:v>Jan</c:v>
                </c:pt>
                <c:pt idx="16">
                  <c:v>Dec</c:v>
                </c:pt>
                <c:pt idx="17">
                  <c:v>Nov</c:v>
                </c:pt>
                <c:pt idx="18">
                  <c:v>Oct</c:v>
                </c:pt>
                <c:pt idx="19">
                  <c:v>Sep</c:v>
                </c:pt>
                <c:pt idx="20">
                  <c:v>Aug</c:v>
                </c:pt>
                <c:pt idx="21">
                  <c:v>Jul</c:v>
                </c:pt>
                <c:pt idx="22">
                  <c:v>Jun</c:v>
                </c:pt>
                <c:pt idx="23">
                  <c:v>May</c:v>
                </c:pt>
                <c:pt idx="24">
                  <c:v>Apr</c:v>
                </c:pt>
                <c:pt idx="25">
                  <c:v>Mar</c:v>
                </c:pt>
                <c:pt idx="26">
                  <c:v>Feb</c:v>
                </c:pt>
                <c:pt idx="27">
                  <c:v>Jan</c:v>
                </c:pt>
              </c:strCache>
            </c:strRef>
          </c:cat>
          <c:val>
            <c:numRef>
              <c:f>Bar!$AD$24:$AD$53</c:f>
              <c:numCache>
                <c:formatCode>#,##0.000</c:formatCode>
                <c:ptCount val="30"/>
                <c:pt idx="0">
                  <c:v>1</c:v>
                </c:pt>
                <c:pt idx="1">
                  <c:v>1</c:v>
                </c:pt>
                <c:pt idx="2">
                  <c:v>0.37619866666666679</c:v>
                </c:pt>
                <c:pt idx="3">
                  <c:v>0.42118933333333342</c:v>
                </c:pt>
                <c:pt idx="4">
                  <c:v>0.36783466666666653</c:v>
                </c:pt>
                <c:pt idx="5">
                  <c:v>0.41287999999999991</c:v>
                </c:pt>
                <c:pt idx="6">
                  <c:v>0.4579253333333333</c:v>
                </c:pt>
                <c:pt idx="7">
                  <c:v>0.40457066666666663</c:v>
                </c:pt>
                <c:pt idx="8">
                  <c:v>0.44956133333333348</c:v>
                </c:pt>
                <c:pt idx="9">
                  <c:v>0.49460666666666686</c:v>
                </c:pt>
                <c:pt idx="10">
                  <c:v>0.44125199999999998</c:v>
                </c:pt>
                <c:pt idx="11">
                  <c:v>0.4862426666666666</c:v>
                </c:pt>
                <c:pt idx="12">
                  <c:v>0.53128799999999998</c:v>
                </c:pt>
                <c:pt idx="13">
                  <c:v>0.47793333333333332</c:v>
                </c:pt>
                <c:pt idx="14">
                  <c:v>1</c:v>
                </c:pt>
                <c:pt idx="15">
                  <c:v>1</c:v>
                </c:pt>
                <c:pt idx="16">
                  <c:v>0.6389813333333334</c:v>
                </c:pt>
                <c:pt idx="17">
                  <c:v>0.5811440000000001</c:v>
                </c:pt>
                <c:pt idx="18">
                  <c:v>0.62165200000000009</c:v>
                </c:pt>
                <c:pt idx="19">
                  <c:v>0.66216000000000008</c:v>
                </c:pt>
                <c:pt idx="20">
                  <c:v>0.60426800000000003</c:v>
                </c:pt>
                <c:pt idx="21">
                  <c:v>0.64477600000000002</c:v>
                </c:pt>
                <c:pt idx="22">
                  <c:v>0.68533866666666654</c:v>
                </c:pt>
                <c:pt idx="23">
                  <c:v>0.62744666666666671</c:v>
                </c:pt>
                <c:pt idx="24">
                  <c:v>0.6679546666666667</c:v>
                </c:pt>
                <c:pt idx="25">
                  <c:v>0.70851733333333344</c:v>
                </c:pt>
                <c:pt idx="26">
                  <c:v>0.65062533333333339</c:v>
                </c:pt>
                <c:pt idx="27">
                  <c:v>0.69113333333333338</c:v>
                </c:pt>
                <c:pt idx="28">
                  <c:v>1</c:v>
                </c:pt>
                <c:pt idx="29">
                  <c:v>1</c:v>
                </c:pt>
              </c:numCache>
            </c:numRef>
          </c:val>
          <c:extLst>
            <c:ext xmlns:c16="http://schemas.microsoft.com/office/drawing/2014/chart" uri="{C3380CC4-5D6E-409C-BE32-E72D297353CC}">
              <c16:uniqueId val="{00000005-22A1-4B72-BEEA-94DBC880C91C}"/>
            </c:ext>
          </c:extLst>
        </c:ser>
        <c:ser>
          <c:idx val="5"/>
          <c:order val="5"/>
          <c:tx>
            <c:v>Revenue</c:v>
          </c:tx>
          <c:spPr>
            <a:solidFill>
              <a:srgbClr val="1F4E79"/>
            </a:solidFill>
            <a:ln>
              <a:noFill/>
            </a:ln>
            <a:effectLst/>
            <a:extLst>
              <a:ext uri="{91240B29-F687-4F45-9708-019B960494DF}">
                <a14:hiddenLine xmlns:a14="http://schemas.microsoft.com/office/drawing/2010/main">
                  <a:noFill/>
                </a14:hiddenLine>
              </a:ext>
            </a:extLst>
          </c:spPr>
          <c:invertIfNegative val="0"/>
          <c:cat>
            <c:strRef>
              <c:f>Bar!$Y$24:$Y$53</c:f>
              <c:strCache>
                <c:ptCount val="28"/>
                <c:pt idx="2">
                  <c:v>Dec</c:v>
                </c:pt>
                <c:pt idx="3">
                  <c:v>Nov</c:v>
                </c:pt>
                <c:pt idx="4">
                  <c:v>Oct</c:v>
                </c:pt>
                <c:pt idx="5">
                  <c:v>Sep</c:v>
                </c:pt>
                <c:pt idx="6">
                  <c:v>Aug</c:v>
                </c:pt>
                <c:pt idx="7">
                  <c:v>Jul</c:v>
                </c:pt>
                <c:pt idx="8">
                  <c:v>Jun</c:v>
                </c:pt>
                <c:pt idx="9">
                  <c:v>May</c:v>
                </c:pt>
                <c:pt idx="10">
                  <c:v>Apr</c:v>
                </c:pt>
                <c:pt idx="11">
                  <c:v>Mar</c:v>
                </c:pt>
                <c:pt idx="12">
                  <c:v>Feb</c:v>
                </c:pt>
                <c:pt idx="13">
                  <c:v>Jan</c:v>
                </c:pt>
                <c:pt idx="16">
                  <c:v>Dec</c:v>
                </c:pt>
                <c:pt idx="17">
                  <c:v>Nov</c:v>
                </c:pt>
                <c:pt idx="18">
                  <c:v>Oct</c:v>
                </c:pt>
                <c:pt idx="19">
                  <c:v>Sep</c:v>
                </c:pt>
                <c:pt idx="20">
                  <c:v>Aug</c:v>
                </c:pt>
                <c:pt idx="21">
                  <c:v>Jul</c:v>
                </c:pt>
                <c:pt idx="22">
                  <c:v>Jun</c:v>
                </c:pt>
                <c:pt idx="23">
                  <c:v>May</c:v>
                </c:pt>
                <c:pt idx="24">
                  <c:v>Apr</c:v>
                </c:pt>
                <c:pt idx="25">
                  <c:v>Mar</c:v>
                </c:pt>
                <c:pt idx="26">
                  <c:v>Feb</c:v>
                </c:pt>
                <c:pt idx="27">
                  <c:v>Jan</c:v>
                </c:pt>
              </c:strCache>
            </c:strRef>
          </c:cat>
          <c:val>
            <c:numRef>
              <c:f>Bar!$AE$24:$AE$53</c:f>
              <c:numCache>
                <c:formatCode>General</c:formatCode>
                <c:ptCount val="30"/>
                <c:pt idx="0">
                  <c:v>#N/A</c:v>
                </c:pt>
                <c:pt idx="1">
                  <c:v>#N/A</c:v>
                </c:pt>
                <c:pt idx="2">
                  <c:v>0.50326133333333334</c:v>
                </c:pt>
                <c:pt idx="3">
                  <c:v>0.46127733333333332</c:v>
                </c:pt>
                <c:pt idx="4">
                  <c:v>0.41923866666666665</c:v>
                </c:pt>
                <c:pt idx="5">
                  <c:v>0.47559999999999991</c:v>
                </c:pt>
                <c:pt idx="6">
                  <c:v>0.43356133333333335</c:v>
                </c:pt>
                <c:pt idx="7">
                  <c:v>0.39152266666666669</c:v>
                </c:pt>
                <c:pt idx="8">
                  <c:v>0.44793866666666665</c:v>
                </c:pt>
                <c:pt idx="9">
                  <c:v>0.40589999999999998</c:v>
                </c:pt>
                <c:pt idx="10">
                  <c:v>0.36386133333333331</c:v>
                </c:pt>
                <c:pt idx="11">
                  <c:v>0.42027733333333328</c:v>
                </c:pt>
                <c:pt idx="12">
                  <c:v>0.37823866666666661</c:v>
                </c:pt>
                <c:pt idx="13">
                  <c:v>0.33619999999999994</c:v>
                </c:pt>
                <c:pt idx="14">
                  <c:v>#N/A</c:v>
                </c:pt>
                <c:pt idx="15">
                  <c:v>#N/A</c:v>
                </c:pt>
                <c:pt idx="16">
                  <c:v>0.66212266666666664</c:v>
                </c:pt>
                <c:pt idx="17">
                  <c:v>0.61636666666666662</c:v>
                </c:pt>
                <c:pt idx="18">
                  <c:v>0.66901066666666664</c:v>
                </c:pt>
                <c:pt idx="19">
                  <c:v>0.62319999999999998</c:v>
                </c:pt>
                <c:pt idx="20">
                  <c:v>0.57738933333333331</c:v>
                </c:pt>
                <c:pt idx="21">
                  <c:v>0.63003333333333333</c:v>
                </c:pt>
                <c:pt idx="22">
                  <c:v>0.58427733333333332</c:v>
                </c:pt>
                <c:pt idx="23">
                  <c:v>0.53846666666666665</c:v>
                </c:pt>
                <c:pt idx="24">
                  <c:v>0.59105599999999991</c:v>
                </c:pt>
                <c:pt idx="25">
                  <c:v>0.54530000000000001</c:v>
                </c:pt>
                <c:pt idx="26">
                  <c:v>0.4994893333333334</c:v>
                </c:pt>
                <c:pt idx="27">
                  <c:v>0.55213333333333325</c:v>
                </c:pt>
                <c:pt idx="28">
                  <c:v>#N/A</c:v>
                </c:pt>
                <c:pt idx="29">
                  <c:v>#N/A</c:v>
                </c:pt>
              </c:numCache>
            </c:numRef>
          </c:val>
          <c:extLst>
            <c:ext xmlns:c16="http://schemas.microsoft.com/office/drawing/2014/chart" uri="{C3380CC4-5D6E-409C-BE32-E72D297353CC}">
              <c16:uniqueId val="{00000006-22A1-4B72-BEEA-94DBC880C91C}"/>
            </c:ext>
          </c:extLst>
        </c:ser>
        <c:ser>
          <c:idx val="6"/>
          <c:order val="6"/>
          <c:tx>
            <c:v> </c:v>
          </c:tx>
          <c:spPr>
            <a:noFill/>
            <a:ln>
              <a:noFill/>
            </a:ln>
            <a:effectLst/>
            <a:extLst>
              <a:ext uri="{909E8E84-426E-40DD-AFC4-6F175D3DCCD1}">
                <a14:hiddenFill xmlns:a14="http://schemas.microsoft.com/office/drawing/2010/main">
                  <a:solidFill>
                    <a:srgbClr val="156082">
                      <a:tint val="77000"/>
                    </a:srgbClr>
                  </a:solidFill>
                </a14:hiddenFill>
              </a:ext>
              <a:ext uri="{91240B29-F687-4F45-9708-019B960494DF}">
                <a14:hiddenLine xmlns:a14="http://schemas.microsoft.com/office/drawing/2010/main">
                  <a:noFill/>
                </a14:hiddenLine>
              </a:ext>
            </a:extLst>
          </c:spPr>
          <c:invertIfNegative val="0"/>
          <c:cat>
            <c:strRef>
              <c:f>Bar!$Y$24:$Y$53</c:f>
              <c:strCache>
                <c:ptCount val="28"/>
                <c:pt idx="2">
                  <c:v>Dec</c:v>
                </c:pt>
                <c:pt idx="3">
                  <c:v>Nov</c:v>
                </c:pt>
                <c:pt idx="4">
                  <c:v>Oct</c:v>
                </c:pt>
                <c:pt idx="5">
                  <c:v>Sep</c:v>
                </c:pt>
                <c:pt idx="6">
                  <c:v>Aug</c:v>
                </c:pt>
                <c:pt idx="7">
                  <c:v>Jul</c:v>
                </c:pt>
                <c:pt idx="8">
                  <c:v>Jun</c:v>
                </c:pt>
                <c:pt idx="9">
                  <c:v>May</c:v>
                </c:pt>
                <c:pt idx="10">
                  <c:v>Apr</c:v>
                </c:pt>
                <c:pt idx="11">
                  <c:v>Mar</c:v>
                </c:pt>
                <c:pt idx="12">
                  <c:v>Feb</c:v>
                </c:pt>
                <c:pt idx="13">
                  <c:v>Jan</c:v>
                </c:pt>
                <c:pt idx="16">
                  <c:v>Dec</c:v>
                </c:pt>
                <c:pt idx="17">
                  <c:v>Nov</c:v>
                </c:pt>
                <c:pt idx="18">
                  <c:v>Oct</c:v>
                </c:pt>
                <c:pt idx="19">
                  <c:v>Sep</c:v>
                </c:pt>
                <c:pt idx="20">
                  <c:v>Aug</c:v>
                </c:pt>
                <c:pt idx="21">
                  <c:v>Jul</c:v>
                </c:pt>
                <c:pt idx="22">
                  <c:v>Jun</c:v>
                </c:pt>
                <c:pt idx="23">
                  <c:v>May</c:v>
                </c:pt>
                <c:pt idx="24">
                  <c:v>Apr</c:v>
                </c:pt>
                <c:pt idx="25">
                  <c:v>Mar</c:v>
                </c:pt>
                <c:pt idx="26">
                  <c:v>Feb</c:v>
                </c:pt>
                <c:pt idx="27">
                  <c:v>Jan</c:v>
                </c:pt>
              </c:strCache>
            </c:strRef>
          </c:cat>
          <c:val>
            <c:numRef>
              <c:f>Bar!$AF$24:$AF$53</c:f>
              <c:numCache>
                <c:formatCode>#,##0.000</c:formatCode>
                <c:ptCount val="30"/>
                <c:pt idx="0">
                  <c:v>1</c:v>
                </c:pt>
                <c:pt idx="1">
                  <c:v>1</c:v>
                </c:pt>
                <c:pt idx="2">
                  <c:v>0.49673866666666644</c:v>
                </c:pt>
                <c:pt idx="3">
                  <c:v>0.53872266666666668</c:v>
                </c:pt>
                <c:pt idx="4">
                  <c:v>0.58076133333333324</c:v>
                </c:pt>
                <c:pt idx="5">
                  <c:v>0.52439999999999998</c:v>
                </c:pt>
                <c:pt idx="6">
                  <c:v>0.56643866666666653</c:v>
                </c:pt>
                <c:pt idx="7">
                  <c:v>0.60847733333333309</c:v>
                </c:pt>
                <c:pt idx="8">
                  <c:v>0.55206133333333351</c:v>
                </c:pt>
                <c:pt idx="9">
                  <c:v>0.59410000000000007</c:v>
                </c:pt>
                <c:pt idx="10">
                  <c:v>0.63613866666666663</c:v>
                </c:pt>
                <c:pt idx="11">
                  <c:v>0.57972266666666661</c:v>
                </c:pt>
                <c:pt idx="12">
                  <c:v>0.62176133333333361</c:v>
                </c:pt>
                <c:pt idx="13">
                  <c:v>0.66380000000000017</c:v>
                </c:pt>
                <c:pt idx="14">
                  <c:v>1</c:v>
                </c:pt>
                <c:pt idx="15">
                  <c:v>1</c:v>
                </c:pt>
                <c:pt idx="16">
                  <c:v>0.33787733333333314</c:v>
                </c:pt>
                <c:pt idx="17">
                  <c:v>0.38363333333333349</c:v>
                </c:pt>
                <c:pt idx="18">
                  <c:v>0.33098933333333314</c:v>
                </c:pt>
                <c:pt idx="19">
                  <c:v>0.37680000000000025</c:v>
                </c:pt>
                <c:pt idx="20">
                  <c:v>0.42261066666666647</c:v>
                </c:pt>
                <c:pt idx="21">
                  <c:v>0.36996666666666655</c:v>
                </c:pt>
                <c:pt idx="22">
                  <c:v>0.41572266666666646</c:v>
                </c:pt>
                <c:pt idx="23">
                  <c:v>0.46153333333333357</c:v>
                </c:pt>
                <c:pt idx="24">
                  <c:v>0.40894399999999997</c:v>
                </c:pt>
                <c:pt idx="25">
                  <c:v>0.45469999999999988</c:v>
                </c:pt>
                <c:pt idx="26">
                  <c:v>0.50051066666666655</c:v>
                </c:pt>
                <c:pt idx="27">
                  <c:v>0.44786666666666664</c:v>
                </c:pt>
                <c:pt idx="28">
                  <c:v>1</c:v>
                </c:pt>
                <c:pt idx="29">
                  <c:v>1</c:v>
                </c:pt>
              </c:numCache>
            </c:numRef>
          </c:val>
          <c:extLst>
            <c:ext xmlns:c16="http://schemas.microsoft.com/office/drawing/2014/chart" uri="{C3380CC4-5D6E-409C-BE32-E72D297353CC}">
              <c16:uniqueId val="{00000007-22A1-4B72-BEEA-94DBC880C91C}"/>
            </c:ext>
          </c:extLst>
        </c:ser>
        <c:ser>
          <c:idx val="7"/>
          <c:order val="7"/>
          <c:tx>
            <c:v>Revenue</c:v>
          </c:tx>
          <c:spPr>
            <a:solidFill>
              <a:srgbClr val="1F4E79"/>
            </a:solidFill>
            <a:ln>
              <a:noFill/>
            </a:ln>
            <a:effectLst/>
            <a:extLst>
              <a:ext uri="{91240B29-F687-4F45-9708-019B960494DF}">
                <a14:hiddenLine xmlns:a14="http://schemas.microsoft.com/office/drawing/2010/main">
                  <a:noFill/>
                </a14:hiddenLine>
              </a:ext>
            </a:extLst>
          </c:spPr>
          <c:invertIfNegative val="0"/>
          <c:cat>
            <c:strRef>
              <c:f>Bar!$Y$24:$Y$53</c:f>
              <c:strCache>
                <c:ptCount val="28"/>
                <c:pt idx="2">
                  <c:v>Dec</c:v>
                </c:pt>
                <c:pt idx="3">
                  <c:v>Nov</c:v>
                </c:pt>
                <c:pt idx="4">
                  <c:v>Oct</c:v>
                </c:pt>
                <c:pt idx="5">
                  <c:v>Sep</c:v>
                </c:pt>
                <c:pt idx="6">
                  <c:v>Aug</c:v>
                </c:pt>
                <c:pt idx="7">
                  <c:v>Jul</c:v>
                </c:pt>
                <c:pt idx="8">
                  <c:v>Jun</c:v>
                </c:pt>
                <c:pt idx="9">
                  <c:v>May</c:v>
                </c:pt>
                <c:pt idx="10">
                  <c:v>Apr</c:v>
                </c:pt>
                <c:pt idx="11">
                  <c:v>Mar</c:v>
                </c:pt>
                <c:pt idx="12">
                  <c:v>Feb</c:v>
                </c:pt>
                <c:pt idx="13">
                  <c:v>Jan</c:v>
                </c:pt>
                <c:pt idx="16">
                  <c:v>Dec</c:v>
                </c:pt>
                <c:pt idx="17">
                  <c:v>Nov</c:v>
                </c:pt>
                <c:pt idx="18">
                  <c:v>Oct</c:v>
                </c:pt>
                <c:pt idx="19">
                  <c:v>Sep</c:v>
                </c:pt>
                <c:pt idx="20">
                  <c:v>Aug</c:v>
                </c:pt>
                <c:pt idx="21">
                  <c:v>Jul</c:v>
                </c:pt>
                <c:pt idx="22">
                  <c:v>Jun</c:v>
                </c:pt>
                <c:pt idx="23">
                  <c:v>May</c:v>
                </c:pt>
                <c:pt idx="24">
                  <c:v>Apr</c:v>
                </c:pt>
                <c:pt idx="25">
                  <c:v>Mar</c:v>
                </c:pt>
                <c:pt idx="26">
                  <c:v>Feb</c:v>
                </c:pt>
                <c:pt idx="27">
                  <c:v>Jan</c:v>
                </c:pt>
              </c:strCache>
            </c:strRef>
          </c:cat>
          <c:val>
            <c:numRef>
              <c:f>Bar!$AG$24:$AG$53</c:f>
              <c:numCache>
                <c:formatCode>General</c:formatCode>
                <c:ptCount val="30"/>
                <c:pt idx="0">
                  <c:v>#N/A</c:v>
                </c:pt>
                <c:pt idx="1">
                  <c:v>#N/A</c:v>
                </c:pt>
                <c:pt idx="2">
                  <c:v>0.28432133333333331</c:v>
                </c:pt>
                <c:pt idx="3">
                  <c:v>0.34374399999999994</c:v>
                </c:pt>
                <c:pt idx="4">
                  <c:v>0.30471199999999998</c:v>
                </c:pt>
                <c:pt idx="5">
                  <c:v>0.26567999999999997</c:v>
                </c:pt>
                <c:pt idx="6">
                  <c:v>0.325048</c:v>
                </c:pt>
                <c:pt idx="7">
                  <c:v>0.28601600000000005</c:v>
                </c:pt>
                <c:pt idx="8">
                  <c:v>0.24703866666666663</c:v>
                </c:pt>
                <c:pt idx="9">
                  <c:v>0.30640666666666661</c:v>
                </c:pt>
                <c:pt idx="10">
                  <c:v>0.26737466666666665</c:v>
                </c:pt>
                <c:pt idx="11">
                  <c:v>0.22839733333333334</c:v>
                </c:pt>
                <c:pt idx="12">
                  <c:v>0.28776533333333332</c:v>
                </c:pt>
                <c:pt idx="13">
                  <c:v>0.24873333333333333</c:v>
                </c:pt>
                <c:pt idx="14">
                  <c:v>#N/A</c:v>
                </c:pt>
                <c:pt idx="15">
                  <c:v>#N/A</c:v>
                </c:pt>
                <c:pt idx="16">
                  <c:v>0.54158266666666666</c:v>
                </c:pt>
                <c:pt idx="17">
                  <c:v>0.49883333333333324</c:v>
                </c:pt>
                <c:pt idx="18">
                  <c:v>0.45608399999999988</c:v>
                </c:pt>
                <c:pt idx="19">
                  <c:v>0.51168000000000002</c:v>
                </c:pt>
                <c:pt idx="20">
                  <c:v>0.46893066666666661</c:v>
                </c:pt>
                <c:pt idx="21">
                  <c:v>0.42612666666666671</c:v>
                </c:pt>
                <c:pt idx="22">
                  <c:v>0.48172266666666663</c:v>
                </c:pt>
                <c:pt idx="23">
                  <c:v>0.43897333333333333</c:v>
                </c:pt>
                <c:pt idx="24">
                  <c:v>0.39622399999999997</c:v>
                </c:pt>
                <c:pt idx="25">
                  <c:v>0.45182</c:v>
                </c:pt>
                <c:pt idx="26">
                  <c:v>0.40901599999999999</c:v>
                </c:pt>
                <c:pt idx="27">
                  <c:v>0.36626666666666663</c:v>
                </c:pt>
                <c:pt idx="28">
                  <c:v>#N/A</c:v>
                </c:pt>
                <c:pt idx="29">
                  <c:v>#N/A</c:v>
                </c:pt>
              </c:numCache>
            </c:numRef>
          </c:val>
          <c:extLst>
            <c:ext xmlns:c16="http://schemas.microsoft.com/office/drawing/2014/chart" uri="{C3380CC4-5D6E-409C-BE32-E72D297353CC}">
              <c16:uniqueId val="{00000008-22A1-4B72-BEEA-94DBC880C91C}"/>
            </c:ext>
          </c:extLst>
        </c:ser>
        <c:dLbls>
          <c:showLegendKey val="0"/>
          <c:showVal val="0"/>
          <c:showCatName val="0"/>
          <c:showSerName val="0"/>
          <c:showPercent val="0"/>
          <c:showBubbleSize val="0"/>
        </c:dLbls>
        <c:gapWidth val="40"/>
        <c:overlap val="100"/>
        <c:axId val="407889807"/>
        <c:axId val="1904793903"/>
      </c:barChart>
      <c:scatterChart>
        <c:scatterStyle val="lineMarker"/>
        <c:varyColors val="0"/>
        <c:ser>
          <c:idx val="8"/>
          <c:order val="8"/>
          <c:tx>
            <c:v>divider</c:v>
          </c:tx>
          <c:spPr>
            <a:ln w="9525">
              <a:solidFill>
                <a:srgbClr val="BFBFBF"/>
              </a:solidFill>
            </a:ln>
          </c:spPr>
          <c:marker>
            <c:symbol val="none"/>
          </c:marker>
          <c:xVal>
            <c:numRef>
              <c:f>Bar!$AI$24:$AI$26</c:f>
              <c:numCache>
                <c:formatCode>General</c:formatCode>
                <c:ptCount val="3"/>
                <c:pt idx="0">
                  <c:v>0</c:v>
                </c:pt>
                <c:pt idx="1">
                  <c:v>4</c:v>
                </c:pt>
              </c:numCache>
            </c:numRef>
          </c:xVal>
          <c:yVal>
            <c:numRef>
              <c:f>Bar!$AJ$24:$AJ$26</c:f>
              <c:numCache>
                <c:formatCode>General</c:formatCode>
                <c:ptCount val="3"/>
                <c:pt idx="0">
                  <c:v>15.5</c:v>
                </c:pt>
                <c:pt idx="1">
                  <c:v>15.5</c:v>
                </c:pt>
                <c:pt idx="2">
                  <c:v>15.5</c:v>
                </c:pt>
              </c:numCache>
            </c:numRef>
          </c:yVal>
          <c:smooth val="0"/>
          <c:extLst>
            <c:ext xmlns:c16="http://schemas.microsoft.com/office/drawing/2014/chart" uri="{C3380CC4-5D6E-409C-BE32-E72D297353CC}">
              <c16:uniqueId val="{00000009-22A1-4B72-BEEA-94DBC880C91C}"/>
            </c:ext>
          </c:extLst>
        </c:ser>
        <c:ser>
          <c:idx val="9"/>
          <c:order val="9"/>
          <c:tx>
            <c:v>bandrule</c:v>
          </c:tx>
          <c:spPr>
            <a:ln w="9525">
              <a:solidFill>
                <a:srgbClr val="BFBFBF"/>
              </a:solidFill>
            </a:ln>
          </c:spPr>
          <c:marker>
            <c:symbol val="none"/>
          </c:marker>
          <c:xVal>
            <c:numRef>
              <c:f>Bar!$AL$24:$AL$32</c:f>
              <c:numCache>
                <c:formatCode>General</c:formatCode>
                <c:ptCount val="9"/>
                <c:pt idx="0">
                  <c:v>0.90999999999999992</c:v>
                </c:pt>
                <c:pt idx="1">
                  <c:v>0.90999999999999992</c:v>
                </c:pt>
                <c:pt idx="3">
                  <c:v>1.91</c:v>
                </c:pt>
                <c:pt idx="4">
                  <c:v>1.91</c:v>
                </c:pt>
                <c:pt idx="6">
                  <c:v>2.91</c:v>
                </c:pt>
                <c:pt idx="7">
                  <c:v>2.91</c:v>
                </c:pt>
              </c:numCache>
            </c:numRef>
          </c:xVal>
          <c:yVal>
            <c:numRef>
              <c:f>Bar!$AM$24:$AM$32</c:f>
              <c:numCache>
                <c:formatCode>General</c:formatCode>
                <c:ptCount val="9"/>
                <c:pt idx="0">
                  <c:v>0.5</c:v>
                </c:pt>
                <c:pt idx="1">
                  <c:v>30.5</c:v>
                </c:pt>
                <c:pt idx="2">
                  <c:v>30.5</c:v>
                </c:pt>
                <c:pt idx="3">
                  <c:v>0.5</c:v>
                </c:pt>
                <c:pt idx="4">
                  <c:v>30.5</c:v>
                </c:pt>
                <c:pt idx="5">
                  <c:v>30.5</c:v>
                </c:pt>
                <c:pt idx="6">
                  <c:v>0.5</c:v>
                </c:pt>
                <c:pt idx="7">
                  <c:v>30.5</c:v>
                </c:pt>
                <c:pt idx="8">
                  <c:v>30.5</c:v>
                </c:pt>
              </c:numCache>
            </c:numRef>
          </c:yVal>
          <c:smooth val="0"/>
          <c:extLst>
            <c:ext xmlns:c16="http://schemas.microsoft.com/office/drawing/2014/chart" uri="{C3380CC4-5D6E-409C-BE32-E72D297353CC}">
              <c16:uniqueId val="{0000000A-22A1-4B72-BEEA-94DBC880C91C}"/>
            </c:ext>
          </c:extLst>
        </c:ser>
        <c:ser>
          <c:idx val="10"/>
          <c:order val="10"/>
          <c:tx>
            <c:v>baseline</c:v>
          </c:tx>
          <c:spPr>
            <a:ln w="9525">
              <a:solidFill>
                <a:srgbClr val="808080"/>
              </a:solidFill>
            </a:ln>
          </c:spPr>
          <c:marker>
            <c:symbol val="none"/>
          </c:marker>
          <c:xVal>
            <c:numRef>
              <c:f>Bar!$AO$24:$AO$47</c:f>
              <c:numCache>
                <c:formatCode>General</c:formatCode>
                <c:ptCount val="24"/>
                <c:pt idx="0">
                  <c:v>0</c:v>
                </c:pt>
                <c:pt idx="1">
                  <c:v>0</c:v>
                </c:pt>
                <c:pt idx="3">
                  <c:v>0</c:v>
                </c:pt>
                <c:pt idx="4">
                  <c:v>0</c:v>
                </c:pt>
                <c:pt idx="6">
                  <c:v>1</c:v>
                </c:pt>
                <c:pt idx="7">
                  <c:v>1</c:v>
                </c:pt>
                <c:pt idx="9">
                  <c:v>1</c:v>
                </c:pt>
                <c:pt idx="10">
                  <c:v>1</c:v>
                </c:pt>
                <c:pt idx="12">
                  <c:v>2</c:v>
                </c:pt>
                <c:pt idx="13">
                  <c:v>2</c:v>
                </c:pt>
                <c:pt idx="15">
                  <c:v>2</c:v>
                </c:pt>
                <c:pt idx="16">
                  <c:v>2</c:v>
                </c:pt>
                <c:pt idx="18">
                  <c:v>3</c:v>
                </c:pt>
                <c:pt idx="19">
                  <c:v>3</c:v>
                </c:pt>
                <c:pt idx="21">
                  <c:v>3</c:v>
                </c:pt>
                <c:pt idx="22">
                  <c:v>3</c:v>
                </c:pt>
              </c:numCache>
            </c:numRef>
          </c:xVal>
          <c:yVal>
            <c:numRef>
              <c:f>Bar!$AP$24:$AP$47</c:f>
              <c:numCache>
                <c:formatCode>General</c:formatCode>
                <c:ptCount val="24"/>
                <c:pt idx="0">
                  <c:v>2.5</c:v>
                </c:pt>
                <c:pt idx="1">
                  <c:v>14.5</c:v>
                </c:pt>
                <c:pt idx="2">
                  <c:v>14.5</c:v>
                </c:pt>
                <c:pt idx="3">
                  <c:v>16.5</c:v>
                </c:pt>
                <c:pt idx="4">
                  <c:v>28.5</c:v>
                </c:pt>
                <c:pt idx="5">
                  <c:v>28.5</c:v>
                </c:pt>
                <c:pt idx="6">
                  <c:v>2.5</c:v>
                </c:pt>
                <c:pt idx="7">
                  <c:v>14.5</c:v>
                </c:pt>
                <c:pt idx="8">
                  <c:v>14.5</c:v>
                </c:pt>
                <c:pt idx="9">
                  <c:v>16.5</c:v>
                </c:pt>
                <c:pt idx="10">
                  <c:v>28.5</c:v>
                </c:pt>
                <c:pt idx="11">
                  <c:v>28.5</c:v>
                </c:pt>
                <c:pt idx="12">
                  <c:v>2.5</c:v>
                </c:pt>
                <c:pt idx="13">
                  <c:v>14.5</c:v>
                </c:pt>
                <c:pt idx="14">
                  <c:v>14.5</c:v>
                </c:pt>
                <c:pt idx="15">
                  <c:v>16.5</c:v>
                </c:pt>
                <c:pt idx="16">
                  <c:v>28.5</c:v>
                </c:pt>
                <c:pt idx="17">
                  <c:v>28.5</c:v>
                </c:pt>
                <c:pt idx="18">
                  <c:v>2.5</c:v>
                </c:pt>
                <c:pt idx="19">
                  <c:v>14.5</c:v>
                </c:pt>
                <c:pt idx="20">
                  <c:v>14.5</c:v>
                </c:pt>
                <c:pt idx="21">
                  <c:v>16.5</c:v>
                </c:pt>
                <c:pt idx="22">
                  <c:v>28.5</c:v>
                </c:pt>
                <c:pt idx="23">
                  <c:v>28.5</c:v>
                </c:pt>
              </c:numCache>
            </c:numRef>
          </c:yVal>
          <c:smooth val="0"/>
          <c:extLst>
            <c:ext xmlns:c16="http://schemas.microsoft.com/office/drawing/2014/chart" uri="{C3380CC4-5D6E-409C-BE32-E72D297353CC}">
              <c16:uniqueId val="{0000000B-22A1-4B72-BEEA-94DBC880C91C}"/>
            </c:ext>
          </c:extLst>
        </c:ser>
        <c:ser>
          <c:idx val="11"/>
          <c:order val="11"/>
          <c:tx>
            <c:v>ptitle</c:v>
          </c:tx>
          <c:spPr>
            <a:ln w="38100">
              <a:noFill/>
            </a:ln>
          </c:spPr>
          <c:marker>
            <c:symbol val="none"/>
          </c:marker>
          <c:dLbls>
            <c:dLbl>
              <c:idx val="0"/>
              <c:tx>
                <c:strRef>
                  <c:f>Bar!$AT$24</c:f>
                  <c:strCache>
                    <c:ptCount val="1"/>
                    <c:pt idx="0">
                      <c:v>Business partner 01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{759F72D7-DE47-447F-B843-FC243196850F}</c15:txfldGUID>
                      <c15:f>Bar!$AT$24</c15:f>
                      <c15:dlblFieldTableCache>
                        <c:ptCount val="1"/>
                        <c:pt idx="0">
                          <c:v>Business partner 01</c:v>
                        </c:pt>
                      </c15:dlblFieldTableCache>
                    </c15:dlblFTEntry>
                  </c15:dlblFieldTable>
                  <c15:showDataLabelsRange val="0"/>
                </c:ext>
                <c:ext xmlns:c16="http://schemas.microsoft.com/office/drawing/2014/chart" uri="{C3380CC4-5D6E-409C-BE32-E72D297353CC}">
                  <c16:uniqueId val="{0000000E-22A1-4B72-BEEA-94DBC880C91C}"/>
                </c:ext>
              </c:extLst>
            </c:dLbl>
            <c:dLbl>
              <c:idx val="1"/>
              <c:tx>
                <c:strRef>
                  <c:f>Bar!$AT$25</c:f>
                  <c:strCache>
                    <c:ptCount val="1"/>
                    <c:pt idx="0">
                      <c:v>Business partner 02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{EFF0A735-1632-49D0-A1F7-FDFC7E6FC05D}</c15:txfldGUID>
                      <c15:f>Bar!$AT$25</c15:f>
                      <c15:dlblFieldTableCache>
                        <c:ptCount val="1"/>
                        <c:pt idx="0">
                          <c:v>Business partner 02</c:v>
                        </c:pt>
                      </c15:dlblFieldTableCache>
                    </c15:dlblFTEntry>
                  </c15:dlblFieldTable>
                  <c15:showDataLabelsRange val="0"/>
                </c:ext>
                <c:ext xmlns:c16="http://schemas.microsoft.com/office/drawing/2014/chart" uri="{C3380CC4-5D6E-409C-BE32-E72D297353CC}">
                  <c16:uniqueId val="{0000000F-22A1-4B72-BEEA-94DBC880C91C}"/>
                </c:ext>
              </c:extLst>
            </c:dLbl>
            <c:dLbl>
              <c:idx val="2"/>
              <c:tx>
                <c:strRef>
                  <c:f>Bar!$AT$26</c:f>
                  <c:strCache>
                    <c:ptCount val="1"/>
                    <c:pt idx="0">
                      <c:v>Business partner 03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{673DDB12-49B8-4CF5-8C14-CDBE077F5767}</c15:txfldGUID>
                      <c15:f>Bar!$AT$26</c15:f>
                      <c15:dlblFieldTableCache>
                        <c:ptCount val="1"/>
                        <c:pt idx="0">
                          <c:v>Business partner 03</c:v>
                        </c:pt>
                      </c15:dlblFieldTableCache>
                    </c15:dlblFTEntry>
                  </c15:dlblFieldTable>
                  <c15:showDataLabelsRange val="0"/>
                </c:ext>
                <c:ext xmlns:c16="http://schemas.microsoft.com/office/drawing/2014/chart" uri="{C3380CC4-5D6E-409C-BE32-E72D297353CC}">
                  <c16:uniqueId val="{00000010-22A1-4B72-BEEA-94DBC880C91C}"/>
                </c:ext>
              </c:extLst>
            </c:dLbl>
            <c:dLbl>
              <c:idx val="3"/>
              <c:tx>
                <c:strRef>
                  <c:f>Bar!$AT$27</c:f>
                  <c:strCache>
                    <c:ptCount val="1"/>
                    <c:pt idx="0">
                      <c:v>Business partner 04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{43789EB5-A8EB-49BA-88CC-369E08FF558C}</c15:txfldGUID>
                      <c15:f>Bar!$AT$27</c15:f>
                      <c15:dlblFieldTableCache>
                        <c:ptCount val="1"/>
                        <c:pt idx="0">
                          <c:v>Business partner 04</c:v>
                        </c:pt>
                      </c15:dlblFieldTableCache>
                    </c15:dlblFTEntry>
                  </c15:dlblFieldTable>
                  <c15:showDataLabelsRange val="0"/>
                </c:ext>
                <c:ext xmlns:c16="http://schemas.microsoft.com/office/drawing/2014/chart" uri="{C3380CC4-5D6E-409C-BE32-E72D297353CC}">
                  <c16:uniqueId val="{00000011-22A1-4B72-BEEA-94DBC880C91C}"/>
                </c:ext>
              </c:extLst>
            </c:dLbl>
            <c:dLbl>
              <c:idx val="4"/>
              <c:tx>
                <c:strRef>
                  <c:f>Bar!$AT$28</c:f>
                  <c:strCache>
                    <c:ptCount val="1"/>
                    <c:pt idx="0">
                      <c:v>Business partner 05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{34151069-75CB-46F6-AD21-FA3F021D1716}</c15:txfldGUID>
                      <c15:f>Bar!$AT$28</c15:f>
                      <c15:dlblFieldTableCache>
                        <c:ptCount val="1"/>
                        <c:pt idx="0">
                          <c:v>Business partner 05</c:v>
                        </c:pt>
                      </c15:dlblFieldTableCache>
                    </c15:dlblFTEntry>
                  </c15:dlblFieldTable>
                  <c15:showDataLabelsRange val="0"/>
                </c:ext>
                <c:ext xmlns:c16="http://schemas.microsoft.com/office/drawing/2014/chart" uri="{C3380CC4-5D6E-409C-BE32-E72D297353CC}">
                  <c16:uniqueId val="{00000012-22A1-4B72-BEEA-94DBC880C91C}"/>
                </c:ext>
              </c:extLst>
            </c:dLbl>
            <c:dLbl>
              <c:idx val="5"/>
              <c:tx>
                <c:strRef>
                  <c:f>Bar!$AT$29</c:f>
                  <c:strCache>
                    <c:ptCount val="1"/>
                    <c:pt idx="0">
                      <c:v>Business partner 06</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{9284B5B5-8C55-4A5E-A5B4-6ED885E13F52}</c15:txfldGUID>
                      <c15:f>Bar!$AT$29</c15:f>
                      <c15:dlblFieldTableCache>
                        <c:ptCount val="1"/>
                        <c:pt idx="0">
                          <c:v>Business partner 06</c:v>
                        </c:pt>
                      </c15:dlblFieldTableCache>
                    </c15:dlblFTEntry>
                  </c15:dlblFieldTable>
                  <c15:showDataLabelsRange val="0"/>
                </c:ext>
                <c:ext xmlns:c16="http://schemas.microsoft.com/office/drawing/2014/chart" uri="{C3380CC4-5D6E-409C-BE32-E72D297353CC}">
                  <c16:uniqueId val="{00000013-22A1-4B72-BEEA-94DBC880C91C}"/>
                </c:ext>
              </c:extLst>
            </c:dLbl>
            <c:dLbl>
              <c:idx val="6"/>
              <c:tx>
                <c:strRef>
                  <c:f>Bar!$AT$30</c:f>
                  <c:strCache>
                    <c:ptCount val="1"/>
                    <c:pt idx="0">
                      <c:v>Business partner 07</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{FAA381D2-C444-43AE-9858-2207329DC740}</c15:txfldGUID>
                      <c15:f>Bar!$AT$30</c15:f>
                      <c15:dlblFieldTableCache>
                        <c:ptCount val="1"/>
                        <c:pt idx="0">
                          <c:v>Business partner 07</c:v>
                        </c:pt>
                      </c15:dlblFieldTableCache>
                    </c15:dlblFTEntry>
                  </c15:dlblFieldTable>
                  <c15:showDataLabelsRange val="0"/>
                </c:ext>
                <c:ext xmlns:c16="http://schemas.microsoft.com/office/drawing/2014/chart" uri="{C3380CC4-5D6E-409C-BE32-E72D297353CC}">
                  <c16:uniqueId val="{00000014-22A1-4B72-BEEA-94DBC880C91C}"/>
                </c:ext>
              </c:extLst>
            </c:dLbl>
            <c:dLbl>
              <c:idx val="7"/>
              <c:tx>
                <c:strRef>
                  <c:f>Bar!$AT$31</c:f>
                  <c:strCache>
                    <c:ptCount val="1"/>
                    <c:pt idx="0">
                      <c:v>Business partner 08</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{2A32D650-7987-44AB-9E8B-A96DE9559DBE}</c15:txfldGUID>
                      <c15:f>Bar!$AT$31</c15:f>
                      <c15:dlblFieldTableCache>
                        <c:ptCount val="1"/>
                        <c:pt idx="0">
                          <c:v>Business partner 08</c:v>
                        </c:pt>
                      </c15:dlblFieldTableCache>
                    </c15:dlblFTEntry>
                  </c15:dlblFieldTable>
                  <c15:showDataLabelsRange val="0"/>
                </c:ext>
                <c:ext xmlns:c16="http://schemas.microsoft.com/office/drawing/2014/chart" uri="{C3380CC4-5D6E-409C-BE32-E72D297353CC}">
                  <c16:uniqueId val="{00000015-22A1-4B72-BEEA-94DBC880C9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Bar!$AR$24:$AR$31</c:f>
              <c:numCache>
                <c:formatCode>General</c:formatCode>
                <c:ptCount val="8"/>
                <c:pt idx="0">
                  <c:v>1.6399999999999998E-2</c:v>
                </c:pt>
                <c:pt idx="1">
                  <c:v>1.0164</c:v>
                </c:pt>
                <c:pt idx="2">
                  <c:v>2.0164</c:v>
                </c:pt>
                <c:pt idx="3">
                  <c:v>3.0164</c:v>
                </c:pt>
                <c:pt idx="4">
                  <c:v>1.6399999999999998E-2</c:v>
                </c:pt>
                <c:pt idx="5">
                  <c:v>1.0164</c:v>
                </c:pt>
                <c:pt idx="6">
                  <c:v>2.0164</c:v>
                </c:pt>
                <c:pt idx="7">
                  <c:v>3.0164</c:v>
                </c:pt>
              </c:numCache>
            </c:numRef>
          </c:xVal>
          <c:yVal>
            <c:numRef>
              <c:f>Bar!$AS$24:$AS$31</c:f>
              <c:numCache>
                <c:formatCode>General</c:formatCode>
                <c:ptCount val="8"/>
                <c:pt idx="0">
                  <c:v>29</c:v>
                </c:pt>
                <c:pt idx="1">
                  <c:v>29</c:v>
                </c:pt>
                <c:pt idx="2">
                  <c:v>29</c:v>
                </c:pt>
                <c:pt idx="3">
                  <c:v>29</c:v>
                </c:pt>
                <c:pt idx="4">
                  <c:v>15</c:v>
                </c:pt>
                <c:pt idx="5">
                  <c:v>15</c:v>
                </c:pt>
                <c:pt idx="6">
                  <c:v>15</c:v>
                </c:pt>
                <c:pt idx="7">
                  <c:v>15</c:v>
                </c:pt>
              </c:numCache>
            </c:numRef>
          </c:yVal>
          <c:smooth val="0"/>
          <c:extLst>
            <c:ext xmlns:c16="http://schemas.microsoft.com/office/drawing/2014/chart" uri="{C3380CC4-5D6E-409C-BE32-E72D297353CC}">
              <c16:uniqueId val="{0000000C-22A1-4B72-BEEA-94DBC880C91C}"/>
            </c:ext>
          </c:extLst>
        </c:ser>
        <c:ser>
          <c:idx val="12"/>
          <c:order val="12"/>
          <c:tx>
            <c:v>ytick</c:v>
          </c:tx>
          <c:spPr>
            <a:ln w="38100">
              <a:noFill/>
            </a:ln>
          </c:spPr>
          <c:marker>
            <c:symbol val="none"/>
          </c:marker>
          <c:dLbls>
            <c:dLbl>
              <c:idx val="0"/>
              <c:tx>
                <c:strRef>
                  <c:f>Bar!$AX$24</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{AEACC4FE-EA1C-4668-845F-A597E972FF81}</c15:txfldGUID>
                      <c15:f>Bar!$AX$24</c15:f>
                      <c15:dlblFieldTableCache>
                        <c:ptCount val="1"/>
                        <c:pt idx="0">
                          <c:v>0</c:v>
                        </c:pt>
                      </c15:dlblFieldTableCache>
                    </c15:dlblFTEntry>
                  </c15:dlblFieldTable>
                  <c15:showDataLabelsRange val="0"/>
                </c:ext>
                <c:ext xmlns:c16="http://schemas.microsoft.com/office/drawing/2014/chart" uri="{C3380CC4-5D6E-409C-BE32-E72D297353CC}">
                  <c16:uniqueId val="{00000016-22A1-4B72-BEEA-94DBC880C91C}"/>
                </c:ext>
              </c:extLst>
            </c:dLbl>
            <c:dLbl>
              <c:idx val="1"/>
              <c:tx>
                <c:strRef>
                  <c:f>Bar!$AX$25</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{0E9E1CCF-7E90-4281-8E71-70940A3A5E8C}</c15:txfldGUID>
                      <c15:f>Bar!$AX$25</c15:f>
                      <c15:dlblFieldTableCache>
                        <c:ptCount val="1"/>
                        <c:pt idx="0">
                          <c:v>750</c:v>
                        </c:pt>
                      </c15:dlblFieldTableCache>
                    </c15:dlblFTEntry>
                  </c15:dlblFieldTable>
                  <c15:showDataLabelsRange val="0"/>
                </c:ext>
                <c:ext xmlns:c16="http://schemas.microsoft.com/office/drawing/2014/chart" uri="{C3380CC4-5D6E-409C-BE32-E72D297353CC}">
                  <c16:uniqueId val="{00000017-22A1-4B72-BEEA-94DBC880C91C}"/>
                </c:ext>
              </c:extLst>
            </c:dLbl>
            <c:dLbl>
              <c:idx val="2"/>
              <c:tx>
                <c:strRef>
                  <c:f>Bar!$AX$26</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{718B09EC-B2F7-4DAA-8376-D0298CC779CB}</c15:txfldGUID>
                      <c15:f>Bar!$AX$26</c15:f>
                      <c15:dlblFieldTableCache>
                        <c:ptCount val="1"/>
                        <c:pt idx="0">
                          <c:v>1,500</c:v>
                        </c:pt>
                      </c15:dlblFieldTableCache>
                    </c15:dlblFTEntry>
                  </c15:dlblFieldTable>
                  <c15:showDataLabelsRange val="0"/>
                </c:ext>
                <c:ext xmlns:c16="http://schemas.microsoft.com/office/drawing/2014/chart" uri="{C3380CC4-5D6E-409C-BE32-E72D297353CC}">
                  <c16:uniqueId val="{00000018-22A1-4B72-BEEA-94DBC880C91C}"/>
                </c:ext>
              </c:extLst>
            </c:dLbl>
            <c:dLbl>
              <c:idx val="3"/>
              <c:tx>
                <c:strRef>
                  <c:f>Bar!$AX$27</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{264C998E-8185-472B-85C1-C725EFCE1E2E}</c15:txfldGUID>
                      <c15:f>Bar!$AX$27</c15:f>
                      <c15:dlblFieldTableCache>
                        <c:ptCount val="1"/>
                        <c:pt idx="0">
                          <c:v>0</c:v>
                        </c:pt>
                      </c15:dlblFieldTableCache>
                    </c15:dlblFTEntry>
                  </c15:dlblFieldTable>
                  <c15:showDataLabelsRange val="0"/>
                </c:ext>
                <c:ext xmlns:c16="http://schemas.microsoft.com/office/drawing/2014/chart" uri="{C3380CC4-5D6E-409C-BE32-E72D297353CC}">
                  <c16:uniqueId val="{00000019-22A1-4B72-BEEA-94DBC880C91C}"/>
                </c:ext>
              </c:extLst>
            </c:dLbl>
            <c:dLbl>
              <c:idx val="4"/>
              <c:tx>
                <c:strRef>
                  <c:f>Bar!$AX$28</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{D59C69E8-A72B-41AF-97D7-49EEC063CB61}</c15:txfldGUID>
                      <c15:f>Bar!$AX$28</c15:f>
                      <c15:dlblFieldTableCache>
                        <c:ptCount val="1"/>
                        <c:pt idx="0">
                          <c:v>750</c:v>
                        </c:pt>
                      </c15:dlblFieldTableCache>
                    </c15:dlblFTEntry>
                  </c15:dlblFieldTable>
                  <c15:showDataLabelsRange val="0"/>
                </c:ext>
                <c:ext xmlns:c16="http://schemas.microsoft.com/office/drawing/2014/chart" uri="{C3380CC4-5D6E-409C-BE32-E72D297353CC}">
                  <c16:uniqueId val="{0000001A-22A1-4B72-BEEA-94DBC880C91C}"/>
                </c:ext>
              </c:extLst>
            </c:dLbl>
            <c:dLbl>
              <c:idx val="5"/>
              <c:tx>
                <c:strRef>
                  <c:f>Bar!$AX$29</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{7A726A9C-3C02-4945-8522-C7B390E2F6BB}</c15:txfldGUID>
                      <c15:f>Bar!$AX$29</c15:f>
                      <c15:dlblFieldTableCache>
                        <c:ptCount val="1"/>
                        <c:pt idx="0">
                          <c:v>1,500</c:v>
                        </c:pt>
                      </c15:dlblFieldTableCache>
                    </c15:dlblFTEntry>
                  </c15:dlblFieldTable>
                  <c15:showDataLabelsRange val="0"/>
                </c:ext>
                <c:ext xmlns:c16="http://schemas.microsoft.com/office/drawing/2014/chart" uri="{C3380CC4-5D6E-409C-BE32-E72D297353CC}">
                  <c16:uniqueId val="{0000001B-22A1-4B72-BEEA-94DBC880C91C}"/>
                </c:ext>
              </c:extLst>
            </c:dLbl>
            <c:dLbl>
              <c:idx val="6"/>
              <c:tx>
                <c:strRef>
                  <c:f>Bar!$AX$30</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{3BB40B35-FF18-43CC-AB01-8243D4AF61BB}</c15:txfldGUID>
                      <c15:f>Bar!$AX$30</c15:f>
                      <c15:dlblFieldTableCache>
                        <c:ptCount val="1"/>
                        <c:pt idx="0">
                          <c:v>0</c:v>
                        </c:pt>
                      </c15:dlblFieldTableCache>
                    </c15:dlblFTEntry>
                  </c15:dlblFieldTable>
                  <c15:showDataLabelsRange val="0"/>
                </c:ext>
                <c:ext xmlns:c16="http://schemas.microsoft.com/office/drawing/2014/chart" uri="{C3380CC4-5D6E-409C-BE32-E72D297353CC}">
                  <c16:uniqueId val="{0000001C-22A1-4B72-BEEA-94DBC880C91C}"/>
                </c:ext>
              </c:extLst>
            </c:dLbl>
            <c:dLbl>
              <c:idx val="7"/>
              <c:tx>
                <c:strRef>
                  <c:f>Bar!$AX$31</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{062DFF82-B5CF-4615-A952-56FB83DDBF9A}</c15:txfldGUID>
                      <c15:f>Bar!$AX$31</c15:f>
                      <c15:dlblFieldTableCache>
                        <c:ptCount val="1"/>
                        <c:pt idx="0">
                          <c:v>750</c:v>
                        </c:pt>
                      </c15:dlblFieldTableCache>
                    </c15:dlblFTEntry>
                  </c15:dlblFieldTable>
                  <c15:showDataLabelsRange val="0"/>
                </c:ext>
                <c:ext xmlns:c16="http://schemas.microsoft.com/office/drawing/2014/chart" uri="{C3380CC4-5D6E-409C-BE32-E72D297353CC}">
                  <c16:uniqueId val="{0000001D-22A1-4B72-BEEA-94DBC880C91C}"/>
                </c:ext>
              </c:extLst>
            </c:dLbl>
            <c:dLbl>
              <c:idx val="8"/>
              <c:tx>
                <c:strRef>
                  <c:f>Bar!$AX$32</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{B05DAB0D-E148-4720-A5A0-A340E2CAD41E}</c15:txfldGUID>
                      <c15:f>Bar!$AX$32</c15:f>
                      <c15:dlblFieldTableCache>
                        <c:ptCount val="1"/>
                        <c:pt idx="0">
                          <c:v>1,500</c:v>
                        </c:pt>
                      </c15:dlblFieldTableCache>
                    </c15:dlblFTEntry>
                  </c15:dlblFieldTable>
                  <c15:showDataLabelsRange val="0"/>
                </c:ext>
                <c:ext xmlns:c16="http://schemas.microsoft.com/office/drawing/2014/chart" uri="{C3380CC4-5D6E-409C-BE32-E72D297353CC}">
                  <c16:uniqueId val="{0000001E-22A1-4B72-BEEA-94DBC880C91C}"/>
                </c:ext>
              </c:extLst>
            </c:dLbl>
            <c:dLbl>
              <c:idx val="9"/>
              <c:tx>
                <c:strRef>
                  <c:f>Bar!$AX$33</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{54722E25-F9DC-4E91-8BEA-4923847EED31}</c15:txfldGUID>
                      <c15:f>Bar!$AX$33</c15:f>
                      <c15:dlblFieldTableCache>
                        <c:ptCount val="1"/>
                        <c:pt idx="0">
                          <c:v>0</c:v>
                        </c:pt>
                      </c15:dlblFieldTableCache>
                    </c15:dlblFTEntry>
                  </c15:dlblFieldTable>
                  <c15:showDataLabelsRange val="0"/>
                </c:ext>
                <c:ext xmlns:c16="http://schemas.microsoft.com/office/drawing/2014/chart" uri="{C3380CC4-5D6E-409C-BE32-E72D297353CC}">
                  <c16:uniqueId val="{0000001F-22A1-4B72-BEEA-94DBC880C91C}"/>
                </c:ext>
              </c:extLst>
            </c:dLbl>
            <c:dLbl>
              <c:idx val="10"/>
              <c:tx>
                <c:strRef>
                  <c:f>Bar!$AX$34</c:f>
                  <c:strCache>
                    <c:ptCount val="1"/>
                    <c:pt idx="0">
                      <c:v>750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{340D2965-12BC-4239-B6EB-61EE6218CB5B}</c15:txfldGUID>
                      <c15:f>Bar!$AX$34</c15:f>
                      <c15:dlblFieldTableCache>
                        <c:ptCount val="1"/>
                        <c:pt idx="0">
                          <c:v>750</c:v>
                        </c:pt>
                      </c15:dlblFieldTableCache>
                    </c15:dlblFTEntry>
                  </c15:dlblFieldTable>
                  <c15:showDataLabelsRange val="0"/>
                </c:ext>
                <c:ext xmlns:c16="http://schemas.microsoft.com/office/drawing/2014/chart" uri="{C3380CC4-5D6E-409C-BE32-E72D297353CC}">
                  <c16:uniqueId val="{00000020-22A1-4B72-BEEA-94DBC880C91C}"/>
                </c:ext>
              </c:extLst>
            </c:dLbl>
            <c:dLbl>
              <c:idx val="11"/>
              <c:tx>
                <c:strRef>
                  <c:f>Bar!$AX$35</c:f>
                  <c:strCache>
                    <c:ptCount val="1"/>
                    <c:pt idx="0">
                      <c:v>1,500</c:v>
                    </c:pt>
                  </c:strCache>
                </c:strRef>
              </c:tx>
              <c:spPr>
                <a:noFill/>
                <a:ln>
                  <a:noFill/>
                </a:ln>
                <a:effectLst/>
              </c:spPr>
              <c:txPr>
                <a:bodyPr wrap="square" lIns="38100" tIns="19050" rIns="38100" bIns="19050" anchor="ctr">
                  <a:spAutoFit/>
                </a:bodyPr>
                <a:lstStyle/>
                <a:p>
                  <a:pPr>
                    <a:defRPr sz="800" b="0"/>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{A4D15AE5-EABE-4EDA-969E-84A90EB480E7}</c15:txfldGUID>
                      <c15:f>Bar!$AX$35</c15:f>
                      <c15:dlblFieldTableCache>
                        <c:ptCount val="1"/>
                        <c:pt idx="0">
                          <c:v>1,500</c:v>
                        </c:pt>
                      </c15:dlblFieldTableCache>
                    </c15:dlblFTEntry>
                  </c15:dlblFieldTable>
                  <c15:showDataLabelsRange val="0"/>
                </c:ext>
                <c:ext xmlns:c16="http://schemas.microsoft.com/office/drawing/2014/chart" uri="{C3380CC4-5D6E-409C-BE32-E72D297353CC}">
                  <c16:uniqueId val="{00000021-22A1-4B72-BEEA-94DBC880C9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Bar!$AV$24:$AV$35</c:f>
              <c:numCache>
                <c:formatCode>General</c:formatCode>
                <c:ptCount val="12"/>
                <c:pt idx="0">
                  <c:v>0</c:v>
                </c:pt>
                <c:pt idx="1">
                  <c:v>0.41</c:v>
                </c:pt>
                <c:pt idx="2">
                  <c:v>0.82</c:v>
                </c:pt>
                <c:pt idx="3">
                  <c:v>1</c:v>
                </c:pt>
                <c:pt idx="4">
                  <c:v>1.41</c:v>
                </c:pt>
                <c:pt idx="5">
                  <c:v>1.8199999999999998</c:v>
                </c:pt>
                <c:pt idx="6">
                  <c:v>2</c:v>
                </c:pt>
                <c:pt idx="7">
                  <c:v>2.41</c:v>
                </c:pt>
                <c:pt idx="8">
                  <c:v>2.82</c:v>
                </c:pt>
                <c:pt idx="9">
                  <c:v>3</c:v>
                </c:pt>
                <c:pt idx="10">
                  <c:v>3.41</c:v>
                </c:pt>
                <c:pt idx="11">
                  <c:v>3.82</c:v>
                </c:pt>
              </c:numCache>
            </c:numRef>
          </c:xVal>
          <c:yVal>
            <c:numRef>
              <c:f>Bar!$AW$24:$AW$35</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yVal>
          <c:smooth val="0"/>
          <c:extLst>
            <c:ext xmlns:c16="http://schemas.microsoft.com/office/drawing/2014/chart" uri="{C3380CC4-5D6E-409C-BE32-E72D297353CC}">
              <c16:uniqueId val="{0000000D-22A1-4B72-BEEA-94DBC880C91C}"/>
            </c:ext>
          </c:extLst>
        </c:ser>
        <c:dLbls>
          <c:showLegendKey val="0"/>
          <c:showVal val="0"/>
          <c:showCatName val="0"/>
          <c:showSerName val="0"/>
          <c:showPercent val="0"/>
          <c:showBubbleSize val="0"/>
        </c:dLbls>
        <c:axId val="1904785743"/>
        <c:axId val="1904798703"/>
      </c:scatterChart>
      <c:catAx>
        <c:axId val="407889807"/>
        <c:scaling>
          <c:orientation val="minMax"/>
        </c:scaling>
        <c:delete val="0"/>
        <c:axPos val="l"/>
        <c:numFmt formatCode="General" sourceLinked="1"/>
        <c:majorTickMark val="none"/>
        <c:minorTickMark val="none"/>
        <c:tickLblPos val="low"/>
        <c:spPr>
          <a:ln>
            <a:solidFill>
              <a:srgbClr val="A6A6A6"/>
            </a:solidFill>
          </a:ln>
        </c:spPr>
        <c:txPr>
          <a:bodyPr/>
          <a:lstStyle/>
          <a:p>
            <a:pPr>
              <a:defRPr sz="800"/>
            </a:pPr>
            <a:endParaRPr lang="en-US"/>
          </a:p>
        </c:txPr>
        <c:crossAx val="1904793903"/>
        <c:crosses val="autoZero"/>
        <c:auto val="1"/>
        <c:lblAlgn val="ctr"/>
        <c:lblOffset val="100"/>
        <c:noMultiLvlLbl val="0"/>
      </c:catAx>
      <c:valAx>
        <c:axId val="1904793903"/>
        <c:scaling>
          <c:orientation val="minMax"/>
          <c:max val="4"/>
          <c:min val="0"/>
        </c:scaling>
        <c:delete val="0"/>
        <c:axPos val="b"/>
        <c:numFmt formatCode="#,##0.000"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407889807"/>
        <c:crosses val="autoZero"/>
        <c:crossBetween val="between"/>
      </c:valAx>
      <c:valAx>
        <c:axId val="1904798703"/>
        <c:scaling>
          <c:orientation val="minMax"/>
          <c:max val="30.5"/>
          <c:min val="0.5"/>
        </c:scaling>
        <c:delete val="0"/>
        <c:axPos val="r"/>
        <c:numFmt formatCode="General"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1904785743"/>
        <c:crosses val="max"/>
        <c:crossBetween val="midCat"/>
      </c:valAx>
      <c:valAx>
        <c:axId val="1904785743"/>
        <c:scaling>
          <c:orientation val="minMax"/>
          <c:max val="4"/>
          <c:min val="0"/>
        </c:scaling>
        <c:delete val="1"/>
        <c:axPos val="b"/>
        <c:numFmt formatCode="General" sourceLinked="1"/>
        <c:majorTickMark val="none"/>
        <c:minorTickMark val="none"/>
        <c:tickLblPos val="none"/>
        <c:crossAx val="1904798703"/>
        <c:crossBetween val="midCat"/>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a:pPr>
            <a:r>
              <a:rPr lang="en-US"/>
              <a:t>Revenue variance against plan, by business partner</a:t>
            </a:r>
          </a:p>
        </c:rich>
      </c:tx>
      <c:overlay val="0"/>
    </c:title>
    <c:autoTitleDeleted val="0"/>
    <c:plotArea>
      <c:layout/>
      <c:lineChart>
        <c:grouping val="standard"/>
        <c:varyColors val="0"/>
        <c:ser>
          <c:idx val="0"/>
          <c:order val="0"/>
          <c:tx>
            <c:v>Variance vs plan</c:v>
          </c:tx>
          <c:spPr>
            <a:ln w="38100" cap="rnd" cmpd="sng" algn="ctr">
              <a:noFill/>
              <a:prstDash val="solid"/>
              <a:round/>
            </a:ln>
            <a:effectLst/>
            <a:extLst>
              <a:ext uri="{91240B29-F687-4F45-9708-019B960494DF}">
                <a14:hiddenLine xmlns:a14="http://schemas.microsoft.com/office/drawing/2010/main" w="38100" cap="rnd" cmpd="sng" algn="ctr">
                  <a:solidFill>
                    <a:srgbClr val="156082"/>
                  </a:solidFill>
                  <a:prstDash val="solid"/>
                  <a:round/>
                </a14:hiddenLine>
              </a:ext>
            </a:extLst>
          </c:spPr>
          <c:marker>
            <c:symbol val="square"/>
            <c:size val="4"/>
            <c:spPr>
              <a:solidFill>
                <a:srgbClr val="404040"/>
              </a:solidFill>
              <a:ln w="12700">
                <a:solidFill>
                  <a:srgbClr val="404040"/>
                </a:solidFill>
                <a:prstDash val="solid"/>
              </a:ln>
              <a:effectLst/>
              <a:extLst>
                <a:ext uri="{91240B29-F687-4F45-9708-019B960494DF}">
                  <a14:hiddenLine xmlns:a14="http://schemas.microsoft.com/office/drawing/2010/main" w="12700" cap="flat" cmpd="sng" algn="ctr">
                    <a:solidFill>
                      <a:srgbClr val="156082"/>
                    </a:solidFill>
                    <a:prstDash val="solid"/>
                    <a:round/>
                  </a14:hiddenLine>
                </a:ext>
              </a:extLst>
            </c:spPr>
          </c:marker>
          <c:dLbls>
            <c:dLbl>
              <c:idx val="3"/>
              <c:tx>
                <c:strRef>
                  <c:f>Pin!$AR$27</c:f>
                  <c:strCache>
                    <c:ptCount val="1"/>
                    <c:pt idx="0">
                      <c:v>+8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{CED5B1DE-BEE6-4646-A042-79B83E69A900}</c15:txfldGUID>
                      <c15:f>Pin!$AR$27</c15:f>
                      <c15:dlblFieldTableCache>
                        <c:ptCount val="1"/>
                        <c:pt idx="0">
                          <c:v>+8</c:v>
                        </c:pt>
                      </c15:dlblFieldTableCache>
                    </c15:dlblFTEntry>
                  </c15:dlblFieldTable>
                  <c15:showDataLabelsRange val="0"/>
                </c:ext>
                <c:ext xmlns:c16="http://schemas.microsoft.com/office/drawing/2014/chart" uri="{C3380CC4-5D6E-409C-BE32-E72D297353CC}">
                  <c16:uniqueId val="{00000002-CF34-4389-B765-0425B8F1998E}"/>
                </c:ext>
              </c:extLst>
            </c:dLbl>
            <c:dLbl>
              <c:idx val="5"/>
              <c:tx>
                <c:strRef>
                  <c:f>Pin!$AR$29</c:f>
                  <c:strCache>
                    <c:ptCount val="1"/>
                    <c:pt idx="0">
                      <c:v>+5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{0EFB6F14-8742-4135-AC3F-BD1FCCF7D477}</c15:txfldGUID>
                      <c15:f>Pin!$AR$29</c15:f>
                      <c15:dlblFieldTableCache>
                        <c:ptCount val="1"/>
                        <c:pt idx="0">
                          <c:v>+5</c:v>
                        </c:pt>
                      </c15:dlblFieldTableCache>
                    </c15:dlblFTEntry>
                  </c15:dlblFieldTable>
                  <c15:showDataLabelsRange val="0"/>
                </c:ext>
                <c:ext xmlns:c16="http://schemas.microsoft.com/office/drawing/2014/chart" uri="{C3380CC4-5D6E-409C-BE32-E72D297353CC}">
                  <c16:uniqueId val="{00000003-CF34-4389-B765-0425B8F1998E}"/>
                </c:ext>
              </c:extLst>
            </c:dLbl>
            <c:dLbl>
              <c:idx val="7"/>
              <c:tx>
                <c:strRef>
                  <c:f>Pin!$AR$31</c:f>
                  <c:strCache>
                    <c:ptCount val="1"/>
                    <c:pt idx="0">
                      <c:v>+2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{CAFB0268-D120-4067-B3B1-AB9833023C51}</c15:txfldGUID>
                      <c15:f>Pin!$AR$31</c15:f>
                      <c15:dlblFieldTableCache>
                        <c:ptCount val="1"/>
                        <c:pt idx="0">
                          <c:v>+2</c:v>
                        </c:pt>
                      </c15:dlblFieldTableCache>
                    </c15:dlblFTEntry>
                  </c15:dlblFieldTable>
                  <c15:showDataLabelsRange val="0"/>
                </c:ext>
                <c:ext xmlns:c16="http://schemas.microsoft.com/office/drawing/2014/chart" uri="{C3380CC4-5D6E-409C-BE32-E72D297353CC}">
                  <c16:uniqueId val="{00000004-CF34-4389-B765-0425B8F1998E}"/>
                </c:ext>
              </c:extLst>
            </c:dLbl>
            <c:dLbl>
              <c:idx val="14"/>
              <c:tx>
                <c:strRef>
                  <c:f>Pin!$AR$38</c:f>
                  <c:strCache>
                    <c:ptCount val="1"/>
                    <c:pt idx="0">
                      <c:v>+8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{589D71D3-962C-4600-AE4F-D345545CD999}</c15:txfldGUID>
                      <c15:f>Pin!$AR$38</c15:f>
                      <c15:dlblFieldTableCache>
                        <c:ptCount val="1"/>
                        <c:pt idx="0">
                          <c:v>+8</c:v>
                        </c:pt>
                      </c15:dlblFieldTableCache>
                    </c15:dlblFTEntry>
                  </c15:dlblFieldTable>
                  <c15:showDataLabelsRange val="0"/>
                </c:ext>
                <c:ext xmlns:c16="http://schemas.microsoft.com/office/drawing/2014/chart" uri="{C3380CC4-5D6E-409C-BE32-E72D297353CC}">
                  <c16:uniqueId val="{00000005-CF34-4389-B765-0425B8F1998E}"/>
                </c:ext>
              </c:extLst>
            </c:dLbl>
            <c:dLbl>
              <c:idx val="16"/>
              <c:tx>
                <c:strRef>
                  <c:f>Pin!$AR$40</c:f>
                  <c:strCache>
                    <c:ptCount val="1"/>
                    <c:pt idx="0">
                      <c:v>+1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{B9DC5CF2-E3C0-4E9D-9947-A62ED65263FC}</c15:txfldGUID>
                      <c15:f>Pin!$AR$40</c15:f>
                      <c15:dlblFieldTableCache>
                        <c:ptCount val="1"/>
                        <c:pt idx="0">
                          <c:v>+1</c:v>
                        </c:pt>
                      </c15:dlblFieldTableCache>
                    </c15:dlblFTEntry>
                  </c15:dlblFieldTable>
                  <c15:showDataLabelsRange val="0"/>
                </c:ext>
                <c:ext xmlns:c16="http://schemas.microsoft.com/office/drawing/2014/chart" uri="{C3380CC4-5D6E-409C-BE32-E72D297353CC}">
                  <c16:uniqueId val="{00000006-CF34-4389-B765-0425B8F1998E}"/>
                </c:ext>
              </c:extLst>
            </c:dLbl>
            <c:dLbl>
              <c:idx val="17"/>
              <c:tx>
                <c:strRef>
                  <c:f>Pin!$AR$41</c:f>
                  <c:strCache>
                    <c:ptCount val="1"/>
                    <c:pt idx="0">
                      <c:v>+16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{9DF70054-1D3C-4238-BBDF-15D15449497F}</c15:txfldGUID>
                      <c15:f>Pin!$AR$41</c15:f>
                      <c15:dlblFieldTableCache>
                        <c:ptCount val="1"/>
                        <c:pt idx="0">
                          <c:v>+16</c:v>
                        </c:pt>
                      </c15:dlblFieldTableCache>
                    </c15:dlblFTEntry>
                  </c15:dlblFieldTable>
                  <c15:showDataLabelsRange val="0"/>
                </c:ext>
                <c:ext xmlns:c16="http://schemas.microsoft.com/office/drawing/2014/chart" uri="{C3380CC4-5D6E-409C-BE32-E72D297353CC}">
                  <c16:uniqueId val="{00000007-CF34-4389-B765-0425B8F1998E}"/>
                </c:ext>
              </c:extLst>
            </c:dLbl>
            <c:dLbl>
              <c:idx val="19"/>
              <c:tx>
                <c:strRef>
                  <c:f>Pin!$AR$43</c:f>
                  <c:strCache>
                    <c:ptCount val="1"/>
                    <c:pt idx="0">
                      <c:v>+13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{9D41B626-FFEE-4EC5-A48C-6501F9BD9C75}</c15:txfldGUID>
                      <c15:f>Pin!$AR$43</c15:f>
                      <c15:dlblFieldTableCache>
                        <c:ptCount val="1"/>
                        <c:pt idx="0">
                          <c:v>+13</c:v>
                        </c:pt>
                      </c15:dlblFieldTableCache>
                    </c15:dlblFTEntry>
                  </c15:dlblFieldTable>
                  <c15:showDataLabelsRange val="0"/>
                </c:ext>
                <c:ext xmlns:c16="http://schemas.microsoft.com/office/drawing/2014/chart" uri="{C3380CC4-5D6E-409C-BE32-E72D297353CC}">
                  <c16:uniqueId val="{00000008-CF34-4389-B765-0425B8F1998E}"/>
                </c:ext>
              </c:extLst>
            </c:dLbl>
            <c:dLbl>
              <c:idx val="21"/>
              <c:tx>
                <c:strRef>
                  <c:f>Pin!$AR$45</c:f>
                  <c:strCache>
                    <c:ptCount val="1"/>
                    <c:pt idx="0">
                      <c:v>+10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{0EA37D87-BBCE-4627-9E29-CA1187E16490}</c15:txfldGUID>
                      <c15:f>Pin!$AR$45</c15:f>
                      <c15:dlblFieldTableCache>
                        <c:ptCount val="1"/>
                        <c:pt idx="0">
                          <c:v>+10</c:v>
                        </c:pt>
                      </c15:dlblFieldTableCache>
                    </c15:dlblFTEntry>
                  </c15:dlblFieldTable>
                  <c15:showDataLabelsRange val="0"/>
                </c:ext>
                <c:ext xmlns:c16="http://schemas.microsoft.com/office/drawing/2014/chart" uri="{C3380CC4-5D6E-409C-BE32-E72D297353CC}">
                  <c16:uniqueId val="{00000009-CF34-4389-B765-0425B8F1998E}"/>
                </c:ext>
              </c:extLst>
            </c:dLbl>
            <c:dLbl>
              <c:idx val="22"/>
              <c:tx>
                <c:strRef>
                  <c:f>Pin!$AR$46</c:f>
                  <c:strCache>
                    <c:ptCount val="1"/>
                    <c:pt idx="0">
                      <c:v>+25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{A27F2F6D-D862-4D74-B9A8-E20C0BA5EEF2}</c15:txfldGUID>
                      <c15:f>Pin!$AR$46</c15:f>
                      <c15:dlblFieldTableCache>
                        <c:ptCount val="1"/>
                        <c:pt idx="0">
                          <c:v>+25</c:v>
                        </c:pt>
                      </c15:dlblFieldTableCache>
                    </c15:dlblFTEntry>
                  </c15:dlblFieldTable>
                  <c15:showDataLabelsRange val="0"/>
                </c:ext>
                <c:ext xmlns:c16="http://schemas.microsoft.com/office/drawing/2014/chart" uri="{C3380CC4-5D6E-409C-BE32-E72D297353CC}">
                  <c16:uniqueId val="{0000000A-CF34-4389-B765-0425B8F1998E}"/>
                </c:ext>
              </c:extLst>
            </c:dLbl>
            <c:dLbl>
              <c:idx val="23"/>
              <c:tx>
                <c:strRef>
                  <c:f>Pin!$AR$47</c:f>
                  <c:strCache>
                    <c:ptCount val="1"/>
                    <c:pt idx="0">
                      <c:v>+7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{6E015C40-C29B-4D4F-8B65-BDF67D61C91E}</c15:txfldGUID>
                      <c15:f>Pin!$AR$47</c15:f>
                      <c15:dlblFieldTableCache>
                        <c:ptCount val="1"/>
                        <c:pt idx="0">
                          <c:v>+7</c:v>
                        </c:pt>
                      </c15:dlblFieldTableCache>
                    </c15:dlblFTEntry>
                  </c15:dlblFieldTable>
                  <c15:showDataLabelsRange val="0"/>
                </c:ext>
                <c:ext xmlns:c16="http://schemas.microsoft.com/office/drawing/2014/chart" uri="{C3380CC4-5D6E-409C-BE32-E72D297353CC}">
                  <c16:uniqueId val="{0000000B-CF34-4389-B765-0425B8F1998E}"/>
                </c:ext>
              </c:extLst>
            </c:dLbl>
            <c:dLbl>
              <c:idx val="24"/>
              <c:tx>
                <c:strRef>
                  <c:f>Pin!$AR$48</c:f>
                  <c:strCache>
                    <c:ptCount val="1"/>
                    <c:pt idx="0">
                      <c:v>+22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{EBF4F27D-BAB5-42B4-A07A-2ADC2099F0CE}</c15:txfldGUID>
                      <c15:f>Pin!$AR$48</c15:f>
                      <c15:dlblFieldTableCache>
                        <c:ptCount val="1"/>
                        <c:pt idx="0">
                          <c:v>+22</c:v>
                        </c:pt>
                      </c15:dlblFieldTableCache>
                    </c15:dlblFTEntry>
                  </c15:dlblFieldTable>
                  <c15:showDataLabelsRange val="0"/>
                </c:ext>
                <c:ext xmlns:c16="http://schemas.microsoft.com/office/drawing/2014/chart" uri="{C3380CC4-5D6E-409C-BE32-E72D297353CC}">
                  <c16:uniqueId val="{0000000C-CF34-4389-B765-0425B8F1998E}"/>
                </c:ext>
              </c:extLst>
            </c:dLbl>
            <c:dLbl>
              <c:idx val="25"/>
              <c:tx>
                <c:strRef>
                  <c:f>Pin!$AR$49</c:f>
                  <c:strCache>
                    <c:ptCount val="1"/>
                    <c:pt idx="0">
                      <c:v>+4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{A3310D8D-7620-4F5B-A2F6-3B24766220F3}</c15:txfldGUID>
                      <c15:f>Pin!$AR$49</c15:f>
                      <c15:dlblFieldTableCache>
                        <c:ptCount val="1"/>
                        <c:pt idx="0">
                          <c:v>+4</c:v>
                        </c:pt>
                      </c15:dlblFieldTableCache>
                    </c15:dlblFTEntry>
                  </c15:dlblFieldTable>
                  <c15:showDataLabelsRange val="0"/>
                </c:ext>
                <c:ext xmlns:c16="http://schemas.microsoft.com/office/drawing/2014/chart" uri="{C3380CC4-5D6E-409C-BE32-E72D297353CC}">
                  <c16:uniqueId val="{0000000D-CF34-4389-B765-0425B8F1998E}"/>
                </c:ext>
              </c:extLst>
            </c:dLbl>
            <c:dLbl>
              <c:idx val="26"/>
              <c:tx>
                <c:strRef>
                  <c:f>Pin!$AR$50</c:f>
                  <c:strCache>
                    <c:ptCount val="1"/>
                    <c:pt idx="0">
                      <c:v>+19</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{F931659C-E69F-4869-9F2A-51E5D6DC4AA7}</c15:txfldGUID>
                      <c15:f>Pin!$AR$50</c15:f>
                      <c15:dlblFieldTableCache>
                        <c:ptCount val="1"/>
                        <c:pt idx="0">
                          <c:v>+19</c:v>
                        </c:pt>
                      </c15:dlblFieldTableCache>
                    </c15:dlblFTEntry>
                  </c15:dlblFieldTable>
                  <c15:showDataLabelsRange val="0"/>
                </c:ext>
                <c:ext xmlns:c16="http://schemas.microsoft.com/office/drawing/2014/chart" uri="{C3380CC4-5D6E-409C-BE32-E72D297353CC}">
                  <c16:uniqueId val="{0000000E-CF34-4389-B765-0425B8F1998E}"/>
                </c:ext>
              </c:extLst>
            </c:dLbl>
            <c:dLbl>
              <c:idx val="27"/>
              <c:tx>
                <c:strRef>
                  <c:f>Pin!$AR$51</c:f>
                  <c:strCache>
                    <c:ptCount val="1"/>
                    <c:pt idx="0">
                      <c:v>+1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{3C425772-AD69-4F9B-B263-D283A1E2EA09}</c15:txfldGUID>
                      <c15:f>Pin!$AR$51</c15:f>
                      <c15:dlblFieldTableCache>
                        <c:ptCount val="1"/>
                        <c:pt idx="0">
                          <c:v>+1</c:v>
                        </c:pt>
                      </c15:dlblFieldTableCache>
                    </c15:dlblFTEntry>
                  </c15:dlblFieldTable>
                  <c15:showDataLabelsRange val="0"/>
                </c:ext>
                <c:ext xmlns:c16="http://schemas.microsoft.com/office/drawing/2014/chart" uri="{C3380CC4-5D6E-409C-BE32-E72D297353CC}">
                  <c16:uniqueId val="{0000000F-CF34-4389-B765-0425B8F1998E}"/>
                </c:ext>
              </c:extLst>
            </c:dLbl>
            <c:dLbl>
              <c:idx val="30"/>
              <c:tx>
                <c:strRef>
                  <c:f>Pin!$AR$54</c:f>
                  <c:strCache>
                    <c:ptCount val="1"/>
                    <c:pt idx="0">
                      <c:v>+10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{CE9BE952-B47B-43A2-9FAD-AE8FCBF997E4}</c15:txfldGUID>
                      <c15:f>Pin!$AR$54</c15:f>
                      <c15:dlblFieldTableCache>
                        <c:ptCount val="1"/>
                        <c:pt idx="0">
                          <c:v>+10</c:v>
                        </c:pt>
                      </c15:dlblFieldTableCache>
                    </c15:dlblFTEntry>
                  </c15:dlblFieldTable>
                  <c15:showDataLabelsRange val="0"/>
                </c:ext>
                <c:ext xmlns:c16="http://schemas.microsoft.com/office/drawing/2014/chart" uri="{C3380CC4-5D6E-409C-BE32-E72D297353CC}">
                  <c16:uniqueId val="{00000010-CF34-4389-B765-0425B8F1998E}"/>
                </c:ext>
              </c:extLst>
            </c:dLbl>
            <c:dLbl>
              <c:idx val="32"/>
              <c:tx>
                <c:strRef>
                  <c:f>Pin!$AR$56</c:f>
                  <c:strCache>
                    <c:ptCount val="1"/>
                    <c:pt idx="0">
                      <c:v>+7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{4F8C9795-A248-4A34-B06A-C9DC3E19BA90}</c15:txfldGUID>
                      <c15:f>Pin!$AR$56</c15:f>
                      <c15:dlblFieldTableCache>
                        <c:ptCount val="1"/>
                        <c:pt idx="0">
                          <c:v>+7</c:v>
                        </c:pt>
                      </c15:dlblFieldTableCache>
                    </c15:dlblFTEntry>
                  </c15:dlblFieldTable>
                  <c15:showDataLabelsRange val="0"/>
                </c:ext>
                <c:ext xmlns:c16="http://schemas.microsoft.com/office/drawing/2014/chart" uri="{C3380CC4-5D6E-409C-BE32-E72D297353CC}">
                  <c16:uniqueId val="{00000011-CF34-4389-B765-0425B8F1998E}"/>
                </c:ext>
              </c:extLst>
            </c:dLbl>
            <c:dLbl>
              <c:idx val="34"/>
              <c:tx>
                <c:strRef>
                  <c:f>Pin!$AR$58</c:f>
                  <c:strCache>
                    <c:ptCount val="1"/>
                    <c:pt idx="0">
                      <c:v>+4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{E232F236-CE2D-4A9F-9F6B-450FB0247B30}</c15:txfldGUID>
                      <c15:f>Pin!$AR$58</c15:f>
                      <c15:dlblFieldTableCache>
                        <c:ptCount val="1"/>
                        <c:pt idx="0">
                          <c:v>+4</c:v>
                        </c:pt>
                      </c15:dlblFieldTableCache>
                    </c15:dlblFTEntry>
                  </c15:dlblFieldTable>
                  <c15:showDataLabelsRange val="0"/>
                </c:ext>
                <c:ext xmlns:c16="http://schemas.microsoft.com/office/drawing/2014/chart" uri="{C3380CC4-5D6E-409C-BE32-E72D297353CC}">
                  <c16:uniqueId val="{00000012-CF34-4389-B765-0425B8F1998E}"/>
                </c:ext>
              </c:extLst>
            </c:dLbl>
            <c:dLbl>
              <c:idx val="36"/>
              <c:tx>
                <c:strRef>
                  <c:f>Pin!$AR$60</c:f>
                  <c:strCache>
                    <c:ptCount val="1"/>
                    <c:pt idx="0">
                      <c:v>+1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{5629210D-1E8D-41A7-B8ED-AF4430537342}</c15:txfldGUID>
                      <c15:f>Pin!$AR$60</c15:f>
                      <c15:dlblFieldTableCache>
                        <c:ptCount val="1"/>
                        <c:pt idx="0">
                          <c:v>+1</c:v>
                        </c:pt>
                      </c15:dlblFieldTableCache>
                    </c15:dlblFTEntry>
                  </c15:dlblFieldTable>
                  <c15:showDataLabelsRange val="0"/>
                </c:ext>
                <c:ext xmlns:c16="http://schemas.microsoft.com/office/drawing/2014/chart" uri="{C3380CC4-5D6E-409C-BE32-E72D297353CC}">
                  <c16:uniqueId val="{00000013-CF34-4389-B765-0425B8F199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errBars>
            <c:errDir val="y"/>
            <c:errBarType val="minus"/>
            <c:errValType val="cust"/>
            <c:noEndCap val="1"/>
            <c:minus>
              <c:numRef>
                <c:f>Pin!$AI$24:$AI$64</c:f>
                <c:numCache>
                  <c:formatCode>General</c:formatCode>
                  <c:ptCount val="41"/>
                  <c:pt idx="0">
                    <c:v>0</c:v>
                  </c:pt>
                  <c:pt idx="1">
                    <c:v>0</c:v>
                  </c:pt>
                  <c:pt idx="2">
                    <c:v>0</c:v>
                  </c:pt>
                  <c:pt idx="3">
                    <c:v>0.10249999999999999</c:v>
                  </c:pt>
                  <c:pt idx="4">
                    <c:v>0</c:v>
                  </c:pt>
                  <c:pt idx="5">
                    <c:v>6.1499999999999992E-2</c:v>
                  </c:pt>
                  <c:pt idx="6">
                    <c:v>0</c:v>
                  </c:pt>
                  <c:pt idx="7">
                    <c:v>2.0500000000000001E-2</c:v>
                  </c:pt>
                  <c:pt idx="8">
                    <c:v>0</c:v>
                  </c:pt>
                  <c:pt idx="9">
                    <c:v>0</c:v>
                  </c:pt>
                  <c:pt idx="10">
                    <c:v>0</c:v>
                  </c:pt>
                  <c:pt idx="11">
                    <c:v>0</c:v>
                  </c:pt>
                  <c:pt idx="12">
                    <c:v>0</c:v>
                  </c:pt>
                  <c:pt idx="13">
                    <c:v>0</c:v>
                  </c:pt>
                  <c:pt idx="14">
                    <c:v>0.10249999999999999</c:v>
                  </c:pt>
                  <c:pt idx="15">
                    <c:v>0</c:v>
                  </c:pt>
                  <c:pt idx="16">
                    <c:v>1.3666666666666666E-2</c:v>
                  </c:pt>
                  <c:pt idx="17">
                    <c:v>0.21866666666666665</c:v>
                  </c:pt>
                  <c:pt idx="18">
                    <c:v>0</c:v>
                  </c:pt>
                  <c:pt idx="19">
                    <c:v>0.17766666666666667</c:v>
                  </c:pt>
                  <c:pt idx="20">
                    <c:v>0</c:v>
                  </c:pt>
                  <c:pt idx="21">
                    <c:v>0.13666666666666666</c:v>
                  </c:pt>
                  <c:pt idx="22">
                    <c:v>0.34166666666666667</c:v>
                  </c:pt>
                  <c:pt idx="23">
                    <c:v>9.5666666666666664E-2</c:v>
                  </c:pt>
                  <c:pt idx="24">
                    <c:v>0.30066666666666664</c:v>
                  </c:pt>
                  <c:pt idx="25">
                    <c:v>5.4666666666666662E-2</c:v>
                  </c:pt>
                  <c:pt idx="26">
                    <c:v>0.25966666666666666</c:v>
                  </c:pt>
                  <c:pt idx="27">
                    <c:v>1.3666666666666666E-2</c:v>
                  </c:pt>
                  <c:pt idx="28">
                    <c:v>0</c:v>
                  </c:pt>
                  <c:pt idx="29">
                    <c:v>0</c:v>
                  </c:pt>
                  <c:pt idx="30">
                    <c:v>0.13666666666666666</c:v>
                  </c:pt>
                  <c:pt idx="31">
                    <c:v>0</c:v>
                  </c:pt>
                  <c:pt idx="32">
                    <c:v>9.5666666666666664E-2</c:v>
                  </c:pt>
                  <c:pt idx="33">
                    <c:v>0</c:v>
                  </c:pt>
                  <c:pt idx="34">
                    <c:v>5.4666666666666662E-2</c:v>
                  </c:pt>
                  <c:pt idx="35">
                    <c:v>0</c:v>
                  </c:pt>
                  <c:pt idx="36">
                    <c:v>1.3666666666666666E-2</c:v>
                  </c:pt>
                  <c:pt idx="37">
                    <c:v>0</c:v>
                  </c:pt>
                  <c:pt idx="38">
                    <c:v>0</c:v>
                  </c:pt>
                  <c:pt idx="39">
                    <c:v>0</c:v>
                  </c:pt>
                  <c:pt idx="40">
                    <c:v>0</c:v>
                  </c:pt>
                </c:numCache>
              </c:numRef>
            </c:minus>
            <c:spPr>
              <a:ln w="19050">
                <a:solidFill>
                  <a:srgbClr val="8CB400"/>
                </a:solidFill>
              </a:ln>
            </c:spPr>
          </c:errBars>
          <c:cat>
            <c:strRef>
              <c:f>Pin!$Y$24:$Y$64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Pin!$Z$24:$Z$64</c:f>
              <c:numCache>
                <c:formatCode>General</c:formatCode>
                <c:ptCount val="41"/>
                <c:pt idx="0">
                  <c:v>#N/A</c:v>
                </c:pt>
                <c:pt idx="1">
                  <c:v>#N/A</c:v>
                </c:pt>
                <c:pt idx="2">
                  <c:v>#N/A</c:v>
                </c:pt>
                <c:pt idx="3">
                  <c:v>0.51249999999999996</c:v>
                </c:pt>
                <c:pt idx="4">
                  <c:v>#N/A</c:v>
                </c:pt>
                <c:pt idx="5">
                  <c:v>0.47149999999999992</c:v>
                </c:pt>
                <c:pt idx="6">
                  <c:v>#N/A</c:v>
                </c:pt>
                <c:pt idx="7">
                  <c:v>0.43049999999999999</c:v>
                </c:pt>
                <c:pt idx="8">
                  <c:v>#N/A</c:v>
                </c:pt>
                <c:pt idx="9">
                  <c:v>#N/A</c:v>
                </c:pt>
                <c:pt idx="10">
                  <c:v>#N/A</c:v>
                </c:pt>
                <c:pt idx="11">
                  <c:v>#N/A</c:v>
                </c:pt>
                <c:pt idx="12">
                  <c:v>#N/A</c:v>
                </c:pt>
                <c:pt idx="13">
                  <c:v>#N/A</c:v>
                </c:pt>
                <c:pt idx="14">
                  <c:v>0.51249999999999996</c:v>
                </c:pt>
                <c:pt idx="15">
                  <c:v>#N/A</c:v>
                </c:pt>
                <c:pt idx="16">
                  <c:v>0.42366666666666669</c:v>
                </c:pt>
                <c:pt idx="17">
                  <c:v>0.62866666666666671</c:v>
                </c:pt>
                <c:pt idx="18">
                  <c:v>#N/A</c:v>
                </c:pt>
                <c:pt idx="19">
                  <c:v>0.58766666666666667</c:v>
                </c:pt>
                <c:pt idx="20">
                  <c:v>#N/A</c:v>
                </c:pt>
                <c:pt idx="21">
                  <c:v>0.54666666666666663</c:v>
                </c:pt>
                <c:pt idx="22">
                  <c:v>0.75166666666666659</c:v>
                </c:pt>
                <c:pt idx="23">
                  <c:v>0.50566666666666671</c:v>
                </c:pt>
                <c:pt idx="24">
                  <c:v>0.71066666666666667</c:v>
                </c:pt>
                <c:pt idx="25">
                  <c:v>0.46466666666666662</c:v>
                </c:pt>
                <c:pt idx="26">
                  <c:v>0.66966666666666663</c:v>
                </c:pt>
                <c:pt idx="27">
                  <c:v>0.42366666666666669</c:v>
                </c:pt>
                <c:pt idx="28">
                  <c:v>#N/A</c:v>
                </c:pt>
                <c:pt idx="29">
                  <c:v>#N/A</c:v>
                </c:pt>
                <c:pt idx="30">
                  <c:v>0.54666666666666663</c:v>
                </c:pt>
                <c:pt idx="31">
                  <c:v>#N/A</c:v>
                </c:pt>
                <c:pt idx="32">
                  <c:v>0.50566666666666671</c:v>
                </c:pt>
                <c:pt idx="33">
                  <c:v>#N/A</c:v>
                </c:pt>
                <c:pt idx="34">
                  <c:v>0.46466666666666662</c:v>
                </c:pt>
                <c:pt idx="35">
                  <c:v>#N/A</c:v>
                </c:pt>
                <c:pt idx="36">
                  <c:v>0.42366666666666669</c:v>
                </c:pt>
                <c:pt idx="37">
                  <c:v>#N/A</c:v>
                </c:pt>
                <c:pt idx="38">
                  <c:v>#N/A</c:v>
                </c:pt>
                <c:pt idx="39">
                  <c:v>#N/A</c:v>
                </c:pt>
                <c:pt idx="40">
                  <c:v>#N/A</c:v>
                </c:pt>
              </c:numCache>
            </c:numRef>
          </c:val>
          <c:smooth val="0"/>
          <c:extLst>
            <c:ext xmlns:c16="http://schemas.microsoft.com/office/drawing/2014/chart" uri="{C3380CC4-5D6E-409C-BE32-E72D297353CC}">
              <c16:uniqueId val="{00000001-CF34-4389-B765-0425B8F1998E}"/>
            </c:ext>
          </c:extLst>
        </c:ser>
        <c:ser>
          <c:idx val="1"/>
          <c:order val="1"/>
          <c:tx>
            <c:v> </c:v>
          </c:tx>
          <c:spPr>
            <a:ln w="38100">
              <a:noFill/>
            </a:ln>
          </c:spPr>
          <c:marker>
            <c:symbol val="square"/>
            <c:size val="4"/>
            <c:spPr>
              <a:solidFill>
                <a:srgbClr val="404040"/>
              </a:solidFill>
              <a:ln>
                <a:solidFill>
                  <a:srgbClr val="404040"/>
                </a:solidFill>
                <a:prstDash val="solid"/>
              </a:ln>
            </c:spPr>
          </c:marker>
          <c:dLbls>
            <c:dLbl>
              <c:idx val="4"/>
              <c:tx>
                <c:strRef>
                  <c:f>Pin!$AS$28</c:f>
                  <c:strCache>
                    <c:ptCount val="1"/>
                    <c:pt idx="0">
                      <c:v>-11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{BC0C9459-A7CB-44CB-88EC-B3114BF11FA4}</c15:txfldGUID>
                      <c15:f>Pin!$AS$28</c15:f>
                      <c15:dlblFieldTableCache>
                        <c:ptCount val="1"/>
                        <c:pt idx="0">
                          <c:v>-11</c:v>
                        </c:pt>
                      </c15:dlblFieldTableCache>
                    </c15:dlblFTEntry>
                  </c15:dlblFieldTable>
                  <c15:showDataLabelsRange val="0"/>
                </c:ext>
                <c:ext xmlns:c16="http://schemas.microsoft.com/office/drawing/2014/chart" uri="{C3380CC4-5D6E-409C-BE32-E72D297353CC}">
                  <c16:uniqueId val="{00000015-CF34-4389-B765-0425B8F1998E}"/>
                </c:ext>
              </c:extLst>
            </c:dLbl>
            <c:dLbl>
              <c:idx val="6"/>
              <c:tx>
                <c:strRef>
                  <c:f>Pin!$AS$30</c:f>
                  <c:strCache>
                    <c:ptCount val="1"/>
                    <c:pt idx="0">
                      <c:v>-14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{9A2776D4-B2C4-4C04-B26B-578A17F3C6CC}</c15:txfldGUID>
                      <c15:f>Pin!$AS$30</c15:f>
                      <c15:dlblFieldTableCache>
                        <c:ptCount val="1"/>
                        <c:pt idx="0">
                          <c:v>-14</c:v>
                        </c:pt>
                      </c15:dlblFieldTableCache>
                    </c15:dlblFTEntry>
                  </c15:dlblFieldTable>
                  <c15:showDataLabelsRange val="0"/>
                </c:ext>
                <c:ext xmlns:c16="http://schemas.microsoft.com/office/drawing/2014/chart" uri="{C3380CC4-5D6E-409C-BE32-E72D297353CC}">
                  <c16:uniqueId val="{00000016-CF34-4389-B765-0425B8F1998E}"/>
                </c:ext>
              </c:extLst>
            </c:dLbl>
            <c:dLbl>
              <c:idx val="8"/>
              <c:tx>
                <c:strRef>
                  <c:f>Pin!$AS$32</c:f>
                  <c:strCache>
                    <c:ptCount val="1"/>
                    <c:pt idx="0">
                      <c:v>-17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{91830DF3-FAC1-4D68-AADD-EBBB565321A9}</c15:txfldGUID>
                      <c15:f>Pin!$AS$32</c15:f>
                      <c15:dlblFieldTableCache>
                        <c:ptCount val="1"/>
                        <c:pt idx="0">
                          <c:v>-17</c:v>
                        </c:pt>
                      </c15:dlblFieldTableCache>
                    </c15:dlblFTEntry>
                  </c15:dlblFieldTable>
                  <c15:showDataLabelsRange val="0"/>
                </c:ext>
                <c:ext xmlns:c16="http://schemas.microsoft.com/office/drawing/2014/chart" uri="{C3380CC4-5D6E-409C-BE32-E72D297353CC}">
                  <c16:uniqueId val="{00000017-CF34-4389-B765-0425B8F1998E}"/>
                </c:ext>
              </c:extLst>
            </c:dLbl>
            <c:dLbl>
              <c:idx val="9"/>
              <c:tx>
                <c:strRef>
                  <c:f>Pin!$AS$33</c:f>
                  <c:strCache>
                    <c:ptCount val="1"/>
                    <c:pt idx="0">
                      <c:v>-2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{4AD18690-FEE2-4617-84FA-79D889854421}</c15:txfldGUID>
                      <c15:f>Pin!$AS$33</c15:f>
                      <c15:dlblFieldTableCache>
                        <c:ptCount val="1"/>
                        <c:pt idx="0">
                          <c:v>-2</c:v>
                        </c:pt>
                      </c15:dlblFieldTableCache>
                    </c15:dlblFTEntry>
                  </c15:dlblFieldTable>
                  <c15:showDataLabelsRange val="0"/>
                </c:ext>
                <c:ext xmlns:c16="http://schemas.microsoft.com/office/drawing/2014/chart" uri="{C3380CC4-5D6E-409C-BE32-E72D297353CC}">
                  <c16:uniqueId val="{00000018-CF34-4389-B765-0425B8F1998E}"/>
                </c:ext>
              </c:extLst>
            </c:dLbl>
            <c:dLbl>
              <c:idx val="10"/>
              <c:tx>
                <c:strRef>
                  <c:f>Pin!$AS$34</c:f>
                  <c:strCache>
                    <c:ptCount val="1"/>
                    <c:pt idx="0">
                      <c:v>-20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{1B2B9F14-2980-4A4B-9521-D30D7EEB95A8}</c15:txfldGUID>
                      <c15:f>Pin!$AS$34</c15:f>
                      <c15:dlblFieldTableCache>
                        <c:ptCount val="1"/>
                        <c:pt idx="0">
                          <c:v>-20</c:v>
                        </c:pt>
                      </c15:dlblFieldTableCache>
                    </c15:dlblFTEntry>
                  </c15:dlblFieldTable>
                  <c15:showDataLabelsRange val="0"/>
                </c:ext>
                <c:ext xmlns:c16="http://schemas.microsoft.com/office/drawing/2014/chart" uri="{C3380CC4-5D6E-409C-BE32-E72D297353CC}">
                  <c16:uniqueId val="{00000019-CF34-4389-B765-0425B8F1998E}"/>
                </c:ext>
              </c:extLst>
            </c:dLbl>
            <c:dLbl>
              <c:idx val="11"/>
              <c:tx>
                <c:strRef>
                  <c:f>Pin!$AS$35</c:f>
                  <c:strCache>
                    <c:ptCount val="1"/>
                    <c:pt idx="0">
                      <c:v>-5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{4F8660BE-4B3B-4F04-991D-86737B7390C4}</c15:txfldGUID>
                      <c15:f>Pin!$AS$35</c15:f>
                      <c15:dlblFieldTableCache>
                        <c:ptCount val="1"/>
                        <c:pt idx="0">
                          <c:v>-5</c:v>
                        </c:pt>
                      </c15:dlblFieldTableCache>
                    </c15:dlblFTEntry>
                  </c15:dlblFieldTable>
                  <c15:showDataLabelsRange val="0"/>
                </c:ext>
                <c:ext xmlns:c16="http://schemas.microsoft.com/office/drawing/2014/chart" uri="{C3380CC4-5D6E-409C-BE32-E72D297353CC}">
                  <c16:uniqueId val="{0000001A-CF34-4389-B765-0425B8F1998E}"/>
                </c:ext>
              </c:extLst>
            </c:dLbl>
            <c:dLbl>
              <c:idx val="12"/>
              <c:tx>
                <c:strRef>
                  <c:f>Pin!$AS$36</c:f>
                  <c:strCache>
                    <c:ptCount val="1"/>
                    <c:pt idx="0">
                      <c:v>-23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{6E976A7D-0518-4876-91D9-FC6DCBEE5BE3}</c15:txfldGUID>
                      <c15:f>Pin!$AS$36</c15:f>
                      <c15:dlblFieldTableCache>
                        <c:ptCount val="1"/>
                        <c:pt idx="0">
                          <c:v>-23</c:v>
                        </c:pt>
                      </c15:dlblFieldTableCache>
                    </c15:dlblFTEntry>
                  </c15:dlblFieldTable>
                  <c15:showDataLabelsRange val="0"/>
                </c:ext>
                <c:ext xmlns:c16="http://schemas.microsoft.com/office/drawing/2014/chart" uri="{C3380CC4-5D6E-409C-BE32-E72D297353CC}">
                  <c16:uniqueId val="{0000001B-CF34-4389-B765-0425B8F1998E}"/>
                </c:ext>
              </c:extLst>
            </c:dLbl>
            <c:dLbl>
              <c:idx val="13"/>
              <c:tx>
                <c:strRef>
                  <c:f>Pin!$AS$37</c:f>
                  <c:strCache>
                    <c:ptCount val="1"/>
                    <c:pt idx="0">
                      <c:v>-8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{B78EFAE6-A37A-4299-8EA0-93ACC7C2EBB8}</c15:txfldGUID>
                      <c15:f>Pin!$AS$37</c15:f>
                      <c15:dlblFieldTableCache>
                        <c:ptCount val="1"/>
                        <c:pt idx="0">
                          <c:v>-8</c:v>
                        </c:pt>
                      </c15:dlblFieldTableCache>
                    </c15:dlblFTEntry>
                  </c15:dlblFieldTable>
                  <c15:showDataLabelsRange val="0"/>
                </c:ext>
                <c:ext xmlns:c16="http://schemas.microsoft.com/office/drawing/2014/chart" uri="{C3380CC4-5D6E-409C-BE32-E72D297353CC}">
                  <c16:uniqueId val="{0000001C-CF34-4389-B765-0425B8F1998E}"/>
                </c:ext>
              </c:extLst>
            </c:dLbl>
            <c:dLbl>
              <c:idx val="18"/>
              <c:tx>
                <c:strRef>
                  <c:f>Pin!$AS$42</c:f>
                  <c:strCache>
                    <c:ptCount val="1"/>
                    <c:pt idx="0">
                      <c:v>-2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{B180B973-B11B-4CC7-8776-7AE2D6678D59}</c15:txfldGUID>
                      <c15:f>Pin!$AS$42</c15:f>
                      <c15:dlblFieldTableCache>
                        <c:ptCount val="1"/>
                        <c:pt idx="0">
                          <c:v>-2</c:v>
                        </c:pt>
                      </c15:dlblFieldTableCache>
                    </c15:dlblFTEntry>
                  </c15:dlblFieldTable>
                  <c15:showDataLabelsRange val="0"/>
                </c:ext>
                <c:ext xmlns:c16="http://schemas.microsoft.com/office/drawing/2014/chart" uri="{C3380CC4-5D6E-409C-BE32-E72D297353CC}">
                  <c16:uniqueId val="{0000001D-CF34-4389-B765-0425B8F1998E}"/>
                </c:ext>
              </c:extLst>
            </c:dLbl>
            <c:dLbl>
              <c:idx val="20"/>
              <c:tx>
                <c:strRef>
                  <c:f>Pin!$AS$44</c:f>
                  <c:strCache>
                    <c:ptCount val="1"/>
                    <c:pt idx="0">
                      <c:v>-5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{A0296AB6-5F20-482F-B34C-F33CDC86816B}</c15:txfldGUID>
                      <c15:f>Pin!$AS$44</c15:f>
                      <c15:dlblFieldTableCache>
                        <c:ptCount val="1"/>
                        <c:pt idx="0">
                          <c:v>-5</c:v>
                        </c:pt>
                      </c15:dlblFieldTableCache>
                    </c15:dlblFTEntry>
                  </c15:dlblFieldTable>
                  <c15:showDataLabelsRange val="0"/>
                </c:ext>
                <c:ext xmlns:c16="http://schemas.microsoft.com/office/drawing/2014/chart" uri="{C3380CC4-5D6E-409C-BE32-E72D297353CC}">
                  <c16:uniqueId val="{0000001E-CF34-4389-B765-0425B8F1998E}"/>
                </c:ext>
              </c:extLst>
            </c:dLbl>
            <c:dLbl>
              <c:idx val="29"/>
              <c:tx>
                <c:strRef>
                  <c:f>Pin!$AS$53</c:f>
                  <c:strCache>
                    <c:ptCount val="1"/>
                    <c:pt idx="0">
                      <c:v>-5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{70F44734-5D8A-4CBE-B2C7-B83325721EBF}</c15:txfldGUID>
                      <c15:f>Pin!$AS$53</c15:f>
                      <c15:dlblFieldTableCache>
                        <c:ptCount val="1"/>
                        <c:pt idx="0">
                          <c:v>-5</c:v>
                        </c:pt>
                      </c15:dlblFieldTableCache>
                    </c15:dlblFTEntry>
                  </c15:dlblFieldTable>
                  <c15:showDataLabelsRange val="0"/>
                </c:ext>
                <c:ext xmlns:c16="http://schemas.microsoft.com/office/drawing/2014/chart" uri="{C3380CC4-5D6E-409C-BE32-E72D297353CC}">
                  <c16:uniqueId val="{0000001F-CF34-4389-B765-0425B8F1998E}"/>
                </c:ext>
              </c:extLst>
            </c:dLbl>
            <c:dLbl>
              <c:idx val="31"/>
              <c:tx>
                <c:strRef>
                  <c:f>Pin!$AS$55</c:f>
                  <c:strCache>
                    <c:ptCount val="1"/>
                    <c:pt idx="0">
                      <c:v>-8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{1EDBB01F-FDA8-4356-AD17-2615BA5AFC0D}</c15:txfldGUID>
                      <c15:f>Pin!$AS$55</c15:f>
                      <c15:dlblFieldTableCache>
                        <c:ptCount val="1"/>
                        <c:pt idx="0">
                          <c:v>-8</c:v>
                        </c:pt>
                      </c15:dlblFieldTableCache>
                    </c15:dlblFTEntry>
                  </c15:dlblFieldTable>
                  <c15:showDataLabelsRange val="0"/>
                </c:ext>
                <c:ext xmlns:c16="http://schemas.microsoft.com/office/drawing/2014/chart" uri="{C3380CC4-5D6E-409C-BE32-E72D297353CC}">
                  <c16:uniqueId val="{00000020-CF34-4389-B765-0425B8F1998E}"/>
                </c:ext>
              </c:extLst>
            </c:dLbl>
            <c:dLbl>
              <c:idx val="33"/>
              <c:tx>
                <c:strRef>
                  <c:f>Pin!$AS$57</c:f>
                  <c:strCache>
                    <c:ptCount val="1"/>
                    <c:pt idx="0">
                      <c:v>-11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{06024C22-045D-4EA3-B309-66FB66063E05}</c15:txfldGUID>
                      <c15:f>Pin!$AS$57</c15:f>
                      <c15:dlblFieldTableCache>
                        <c:ptCount val="1"/>
                        <c:pt idx="0">
                          <c:v>-11</c:v>
                        </c:pt>
                      </c15:dlblFieldTableCache>
                    </c15:dlblFTEntry>
                  </c15:dlblFieldTable>
                  <c15:showDataLabelsRange val="0"/>
                </c:ext>
                <c:ext xmlns:c16="http://schemas.microsoft.com/office/drawing/2014/chart" uri="{C3380CC4-5D6E-409C-BE32-E72D297353CC}">
                  <c16:uniqueId val="{00000021-CF34-4389-B765-0425B8F1998E}"/>
                </c:ext>
              </c:extLst>
            </c:dLbl>
            <c:dLbl>
              <c:idx val="35"/>
              <c:tx>
                <c:strRef>
                  <c:f>Pin!$AS$59</c:f>
                  <c:strCache>
                    <c:ptCount val="1"/>
                    <c:pt idx="0">
                      <c:v>-14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{995F826E-2E22-4C5D-BF0E-A2F6CB232A60}</c15:txfldGUID>
                      <c15:f>Pin!$AS$59</c15:f>
                      <c15:dlblFieldTableCache>
                        <c:ptCount val="1"/>
                        <c:pt idx="0">
                          <c:v>-14</c:v>
                        </c:pt>
                      </c15:dlblFieldTableCache>
                    </c15:dlblFTEntry>
                  </c15:dlblFieldTable>
                  <c15:showDataLabelsRange val="0"/>
                </c:ext>
                <c:ext xmlns:c16="http://schemas.microsoft.com/office/drawing/2014/chart" uri="{C3380CC4-5D6E-409C-BE32-E72D297353CC}">
                  <c16:uniqueId val="{00000022-CF34-4389-B765-0425B8F1998E}"/>
                </c:ext>
              </c:extLst>
            </c:dLbl>
            <c:dLbl>
              <c:idx val="37"/>
              <c:tx>
                <c:strRef>
                  <c:f>Pin!$AS$61</c:f>
                  <c:strCache>
                    <c:ptCount val="1"/>
                    <c:pt idx="0">
                      <c:v>-17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{F090429E-B708-41B3-A633-81D28FAC75F1}</c15:txfldGUID>
                      <c15:f>Pin!$AS$61</c15:f>
                      <c15:dlblFieldTableCache>
                        <c:ptCount val="1"/>
                        <c:pt idx="0">
                          <c:v>-17</c:v>
                        </c:pt>
                      </c15:dlblFieldTableCache>
                    </c15:dlblFTEntry>
                  </c15:dlblFieldTable>
                  <c15:showDataLabelsRange val="0"/>
                </c:ext>
                <c:ext xmlns:c16="http://schemas.microsoft.com/office/drawing/2014/chart" uri="{C3380CC4-5D6E-409C-BE32-E72D297353CC}">
                  <c16:uniqueId val="{00000023-CF34-4389-B765-0425B8F1998E}"/>
                </c:ext>
              </c:extLst>
            </c:dLbl>
            <c:dLbl>
              <c:idx val="38"/>
              <c:tx>
                <c:strRef>
                  <c:f>Pin!$AS$62</c:f>
                  <c:strCache>
                    <c:ptCount val="1"/>
                    <c:pt idx="0">
                      <c:v>-2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{C8EA484C-AB39-4930-ABD6-C6A00222F9AB}</c15:txfldGUID>
                      <c15:f>Pin!$AS$62</c15:f>
                      <c15:dlblFieldTableCache>
                        <c:ptCount val="1"/>
                        <c:pt idx="0">
                          <c:v>-2</c:v>
                        </c:pt>
                      </c15:dlblFieldTableCache>
                    </c15:dlblFTEntry>
                  </c15:dlblFieldTable>
                  <c15:showDataLabelsRange val="0"/>
                </c:ext>
                <c:ext xmlns:c16="http://schemas.microsoft.com/office/drawing/2014/chart" uri="{C3380CC4-5D6E-409C-BE32-E72D297353CC}">
                  <c16:uniqueId val="{00000024-CF34-4389-B765-0425B8F1998E}"/>
                </c:ext>
              </c:extLst>
            </c:dLbl>
            <c:dLbl>
              <c:idx val="39"/>
              <c:tx>
                <c:strRef>
                  <c:f>Pin!$AS$63</c:f>
                  <c:strCache>
                    <c:ptCount val="1"/>
                    <c:pt idx="0">
                      <c:v>-20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{9E4DD23E-3E24-40BA-9647-C95E96D08598}</c15:txfldGUID>
                      <c15:f>Pin!$AS$63</c15:f>
                      <c15:dlblFieldTableCache>
                        <c:ptCount val="1"/>
                        <c:pt idx="0">
                          <c:v>-20</c:v>
                        </c:pt>
                      </c15:dlblFieldTableCache>
                    </c15:dlblFTEntry>
                  </c15:dlblFieldTable>
                  <c15:showDataLabelsRange val="0"/>
                </c:ext>
                <c:ext xmlns:c16="http://schemas.microsoft.com/office/drawing/2014/chart" uri="{C3380CC4-5D6E-409C-BE32-E72D297353CC}">
                  <c16:uniqueId val="{00000025-CF34-4389-B765-0425B8F1998E}"/>
                </c:ext>
              </c:extLst>
            </c:dLbl>
            <c:dLbl>
              <c:idx val="40"/>
              <c:tx>
                <c:strRef>
                  <c:f>Pin!$AS$64</c:f>
                  <c:strCache>
                    <c:ptCount val="1"/>
                    <c:pt idx="0">
                      <c:v>-5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{7EB2E65B-003E-4D93-8D7F-AA105DBF9FC4}</c15:txfldGUID>
                      <c15:f>Pin!$AS$64</c15:f>
                      <c15:dlblFieldTableCache>
                        <c:ptCount val="1"/>
                        <c:pt idx="0">
                          <c:v>-5</c:v>
                        </c:pt>
                      </c15:dlblFieldTableCache>
                    </c15:dlblFTEntry>
                  </c15:dlblFieldTable>
                  <c15:showDataLabelsRange val="0"/>
                </c:ext>
                <c:ext xmlns:c16="http://schemas.microsoft.com/office/drawing/2014/chart" uri="{C3380CC4-5D6E-409C-BE32-E72D297353CC}">
                  <c16:uniqueId val="{00000026-CF34-4389-B765-0425B8F199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errBars>
            <c:errDir val="y"/>
            <c:errBarType val="plus"/>
            <c:errValType val="cust"/>
            <c:noEndCap val="1"/>
            <c:plus>
              <c:numRef>
                <c:f>Pin!$AJ$24:$AJ$64</c:f>
                <c:numCache>
                  <c:formatCode>General</c:formatCode>
                  <c:ptCount val="41"/>
                  <c:pt idx="0">
                    <c:v>0</c:v>
                  </c:pt>
                  <c:pt idx="1">
                    <c:v>0</c:v>
                  </c:pt>
                  <c:pt idx="2">
                    <c:v>0</c:v>
                  </c:pt>
                  <c:pt idx="3">
                    <c:v>0</c:v>
                  </c:pt>
                  <c:pt idx="4">
                    <c:v>0.14349999999999999</c:v>
                  </c:pt>
                  <c:pt idx="5">
                    <c:v>0</c:v>
                  </c:pt>
                  <c:pt idx="6">
                    <c:v>0.1845</c:v>
                  </c:pt>
                  <c:pt idx="7">
                    <c:v>0</c:v>
                  </c:pt>
                  <c:pt idx="8">
                    <c:v>0.22550000000000001</c:v>
                  </c:pt>
                  <c:pt idx="9">
                    <c:v>2.0500000000000001E-2</c:v>
                  </c:pt>
                  <c:pt idx="10">
                    <c:v>0.26650000000000001</c:v>
                  </c:pt>
                  <c:pt idx="11">
                    <c:v>6.1499999999999992E-2</c:v>
                  </c:pt>
                  <c:pt idx="12">
                    <c:v>0.3075</c:v>
                  </c:pt>
                  <c:pt idx="13">
                    <c:v>0.10249999999999999</c:v>
                  </c:pt>
                  <c:pt idx="14">
                    <c:v>0</c:v>
                  </c:pt>
                  <c:pt idx="15">
                    <c:v>0</c:v>
                  </c:pt>
                  <c:pt idx="16">
                    <c:v>0</c:v>
                  </c:pt>
                  <c:pt idx="17">
                    <c:v>0</c:v>
                  </c:pt>
                  <c:pt idx="18">
                    <c:v>2.7333333333333331E-2</c:v>
                  </c:pt>
                  <c:pt idx="19">
                    <c:v>0</c:v>
                  </c:pt>
                  <c:pt idx="20">
                    <c:v>6.8333333333333329E-2</c:v>
                  </c:pt>
                  <c:pt idx="21">
                    <c:v>0</c:v>
                  </c:pt>
                  <c:pt idx="22">
                    <c:v>0</c:v>
                  </c:pt>
                  <c:pt idx="23">
                    <c:v>0</c:v>
                  </c:pt>
                  <c:pt idx="24">
                    <c:v>0</c:v>
                  </c:pt>
                  <c:pt idx="25">
                    <c:v>0</c:v>
                  </c:pt>
                  <c:pt idx="26">
                    <c:v>0</c:v>
                  </c:pt>
                  <c:pt idx="27">
                    <c:v>0</c:v>
                  </c:pt>
                  <c:pt idx="28">
                    <c:v>0</c:v>
                  </c:pt>
                  <c:pt idx="29">
                    <c:v>6.8333333333333329E-2</c:v>
                  </c:pt>
                  <c:pt idx="30">
                    <c:v>0</c:v>
                  </c:pt>
                  <c:pt idx="31">
                    <c:v>0.10933333333333332</c:v>
                  </c:pt>
                  <c:pt idx="32">
                    <c:v>0</c:v>
                  </c:pt>
                  <c:pt idx="33">
                    <c:v>0.15033333333333332</c:v>
                  </c:pt>
                  <c:pt idx="34">
                    <c:v>0</c:v>
                  </c:pt>
                  <c:pt idx="35">
                    <c:v>0.19133333333333333</c:v>
                  </c:pt>
                  <c:pt idx="36">
                    <c:v>0</c:v>
                  </c:pt>
                  <c:pt idx="37">
                    <c:v>0.23233333333333331</c:v>
                  </c:pt>
                  <c:pt idx="38">
                    <c:v>2.7333333333333331E-2</c:v>
                  </c:pt>
                  <c:pt idx="39">
                    <c:v>0.27333333333333332</c:v>
                  </c:pt>
                  <c:pt idx="40">
                    <c:v>6.8333333333333329E-2</c:v>
                  </c:pt>
                </c:numCache>
              </c:numRef>
            </c:plus>
            <c:spPr>
              <a:ln w="19050">
                <a:solidFill>
                  <a:srgbClr val="C00000"/>
                </a:solidFill>
              </a:ln>
            </c:spPr>
          </c:errBars>
          <c:cat>
            <c:strRef>
              <c:f>Pin!$Y$24:$Y$64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Pin!$AA$24:$AA$64</c:f>
              <c:numCache>
                <c:formatCode>General</c:formatCode>
                <c:ptCount val="41"/>
                <c:pt idx="0">
                  <c:v>#N/A</c:v>
                </c:pt>
                <c:pt idx="1">
                  <c:v>#N/A</c:v>
                </c:pt>
                <c:pt idx="2">
                  <c:v>#N/A</c:v>
                </c:pt>
                <c:pt idx="3">
                  <c:v>#N/A</c:v>
                </c:pt>
                <c:pt idx="4">
                  <c:v>0.26650000000000001</c:v>
                </c:pt>
                <c:pt idx="5">
                  <c:v>#N/A</c:v>
                </c:pt>
                <c:pt idx="6">
                  <c:v>0.22550000000000001</c:v>
                </c:pt>
                <c:pt idx="7">
                  <c:v>#N/A</c:v>
                </c:pt>
                <c:pt idx="8">
                  <c:v>0.1845</c:v>
                </c:pt>
                <c:pt idx="9">
                  <c:v>0.38949999999999996</c:v>
                </c:pt>
                <c:pt idx="10">
                  <c:v>0.14349999999999999</c:v>
                </c:pt>
                <c:pt idx="11">
                  <c:v>0.34849999999999998</c:v>
                </c:pt>
                <c:pt idx="12">
                  <c:v>0.10249999999999999</c:v>
                </c:pt>
                <c:pt idx="13">
                  <c:v>0.3075</c:v>
                </c:pt>
                <c:pt idx="14">
                  <c:v>#N/A</c:v>
                </c:pt>
                <c:pt idx="15">
                  <c:v>#N/A</c:v>
                </c:pt>
                <c:pt idx="16">
                  <c:v>#N/A</c:v>
                </c:pt>
                <c:pt idx="17">
                  <c:v>#N/A</c:v>
                </c:pt>
                <c:pt idx="18">
                  <c:v>0.38266666666666665</c:v>
                </c:pt>
                <c:pt idx="19">
                  <c:v>#N/A</c:v>
                </c:pt>
                <c:pt idx="20">
                  <c:v>0.34166666666666667</c:v>
                </c:pt>
                <c:pt idx="21">
                  <c:v>#N/A</c:v>
                </c:pt>
                <c:pt idx="22">
                  <c:v>#N/A</c:v>
                </c:pt>
                <c:pt idx="23">
                  <c:v>#N/A</c:v>
                </c:pt>
                <c:pt idx="24">
                  <c:v>#N/A</c:v>
                </c:pt>
                <c:pt idx="25">
                  <c:v>#N/A</c:v>
                </c:pt>
                <c:pt idx="26">
                  <c:v>#N/A</c:v>
                </c:pt>
                <c:pt idx="27">
                  <c:v>#N/A</c:v>
                </c:pt>
                <c:pt idx="28">
                  <c:v>#N/A</c:v>
                </c:pt>
                <c:pt idx="29">
                  <c:v>0.34166666666666667</c:v>
                </c:pt>
                <c:pt idx="30">
                  <c:v>#N/A</c:v>
                </c:pt>
                <c:pt idx="31">
                  <c:v>0.30066666666666664</c:v>
                </c:pt>
                <c:pt idx="32">
                  <c:v>#N/A</c:v>
                </c:pt>
                <c:pt idx="33">
                  <c:v>0.25966666666666666</c:v>
                </c:pt>
                <c:pt idx="34">
                  <c:v>#N/A</c:v>
                </c:pt>
                <c:pt idx="35">
                  <c:v>0.21866666666666665</c:v>
                </c:pt>
                <c:pt idx="36">
                  <c:v>#N/A</c:v>
                </c:pt>
                <c:pt idx="37">
                  <c:v>0.17766666666666667</c:v>
                </c:pt>
                <c:pt idx="38">
                  <c:v>0.38266666666666665</c:v>
                </c:pt>
                <c:pt idx="39">
                  <c:v>0.13666666666666666</c:v>
                </c:pt>
                <c:pt idx="40">
                  <c:v>0.34166666666666667</c:v>
                </c:pt>
              </c:numCache>
            </c:numRef>
          </c:val>
          <c:smooth val="0"/>
          <c:extLst>
            <c:ext xmlns:c16="http://schemas.microsoft.com/office/drawing/2014/chart" uri="{C3380CC4-5D6E-409C-BE32-E72D297353CC}">
              <c16:uniqueId val="{00000014-CF34-4389-B765-0425B8F1998E}"/>
            </c:ext>
          </c:extLst>
        </c:ser>
        <c:ser>
          <c:idx val="2"/>
          <c:order val="2"/>
          <c:tx>
            <c:v>Variance vs plan</c:v>
          </c:tx>
          <c:spPr>
            <a:ln w="38100">
              <a:noFill/>
            </a:ln>
          </c:spPr>
          <c:marker>
            <c:symbol val="square"/>
            <c:size val="4"/>
            <c:spPr>
              <a:solidFill>
                <a:srgbClr val="404040"/>
              </a:solidFill>
              <a:ln>
                <a:solidFill>
                  <a:srgbClr val="404040"/>
                </a:solidFill>
                <a:prstDash val="solid"/>
              </a:ln>
            </c:spPr>
          </c:marker>
          <c:dLbls>
            <c:dLbl>
              <c:idx val="4"/>
              <c:tx>
                <c:strRef>
                  <c:f>Pin!$AT$28</c:f>
                  <c:strCache>
                    <c:ptCount val="1"/>
                    <c:pt idx="0">
                      <c:v>+8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{FE251DF2-269E-4B6E-9F16-10C8F46F9400}</c15:txfldGUID>
                      <c15:f>Pin!$AT$28</c15:f>
                      <c15:dlblFieldTableCache>
                        <c:ptCount val="1"/>
                        <c:pt idx="0">
                          <c:v>+8</c:v>
                        </c:pt>
                      </c15:dlblFieldTableCache>
                    </c15:dlblFTEntry>
                  </c15:dlblFieldTable>
                  <c15:showDataLabelsRange val="0"/>
                </c:ext>
                <c:ext xmlns:c16="http://schemas.microsoft.com/office/drawing/2014/chart" uri="{C3380CC4-5D6E-409C-BE32-E72D297353CC}">
                  <c16:uniqueId val="{00000028-CF34-4389-B765-0425B8F1998E}"/>
                </c:ext>
              </c:extLst>
            </c:dLbl>
            <c:dLbl>
              <c:idx val="6"/>
              <c:tx>
                <c:strRef>
                  <c:f>Pin!$AT$30</c:f>
                  <c:strCache>
                    <c:ptCount val="1"/>
                    <c:pt idx="0">
                      <c:v>+5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{4580C9A8-B532-45A3-898B-42F6C2D6B385}</c15:txfldGUID>
                      <c15:f>Pin!$AT$30</c15:f>
                      <c15:dlblFieldTableCache>
                        <c:ptCount val="1"/>
                        <c:pt idx="0">
                          <c:v>+5</c:v>
                        </c:pt>
                      </c15:dlblFieldTableCache>
                    </c15:dlblFTEntry>
                  </c15:dlblFieldTable>
                  <c15:showDataLabelsRange val="0"/>
                </c:ext>
                <c:ext xmlns:c16="http://schemas.microsoft.com/office/drawing/2014/chart" uri="{C3380CC4-5D6E-409C-BE32-E72D297353CC}">
                  <c16:uniqueId val="{00000029-CF34-4389-B765-0425B8F1998E}"/>
                </c:ext>
              </c:extLst>
            </c:dLbl>
            <c:dLbl>
              <c:idx val="7"/>
              <c:tx>
                <c:strRef>
                  <c:f>Pin!$AT$31</c:f>
                  <c:strCache>
                    <c:ptCount val="1"/>
                    <c:pt idx="0">
                      <c:v>+20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{E71A6299-DAEF-4FCD-8026-8465263EA230}</c15:txfldGUID>
                      <c15:f>Pin!$AT$31</c15:f>
                      <c15:dlblFieldTableCache>
                        <c:ptCount val="1"/>
                        <c:pt idx="0">
                          <c:v>+20</c:v>
                        </c:pt>
                      </c15:dlblFieldTableCache>
                    </c15:dlblFTEntry>
                  </c15:dlblFieldTable>
                  <c15:showDataLabelsRange val="0"/>
                </c:ext>
                <c:ext xmlns:c16="http://schemas.microsoft.com/office/drawing/2014/chart" uri="{C3380CC4-5D6E-409C-BE32-E72D297353CC}">
                  <c16:uniqueId val="{0000002A-CF34-4389-B765-0425B8F1998E}"/>
                </c:ext>
              </c:extLst>
            </c:dLbl>
            <c:dLbl>
              <c:idx val="8"/>
              <c:tx>
                <c:strRef>
                  <c:f>Pin!$AT$32</c:f>
                  <c:strCache>
                    <c:ptCount val="1"/>
                    <c:pt idx="0">
                      <c:v>+2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{28E7E4D7-16B5-4A13-8AFD-57FB24A257EA}</c15:txfldGUID>
                      <c15:f>Pin!$AT$32</c15:f>
                      <c15:dlblFieldTableCache>
                        <c:ptCount val="1"/>
                        <c:pt idx="0">
                          <c:v>+2</c:v>
                        </c:pt>
                      </c15:dlblFieldTableCache>
                    </c15:dlblFTEntry>
                  </c15:dlblFieldTable>
                  <c15:showDataLabelsRange val="0"/>
                </c:ext>
                <c:ext xmlns:c16="http://schemas.microsoft.com/office/drawing/2014/chart" uri="{C3380CC4-5D6E-409C-BE32-E72D297353CC}">
                  <c16:uniqueId val="{0000002B-CF34-4389-B765-0425B8F1998E}"/>
                </c:ext>
              </c:extLst>
            </c:dLbl>
            <c:dLbl>
              <c:idx val="9"/>
              <c:tx>
                <c:strRef>
                  <c:f>Pin!$AT$33</c:f>
                  <c:strCache>
                    <c:ptCount val="1"/>
                    <c:pt idx="0">
                      <c:v>+17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{DCD41517-8589-4D69-AC5B-4127EC3BB352}</c15:txfldGUID>
                      <c15:f>Pin!$AT$33</c15:f>
                      <c15:dlblFieldTableCache>
                        <c:ptCount val="1"/>
                        <c:pt idx="0">
                          <c:v>+17</c:v>
                        </c:pt>
                      </c15:dlblFieldTableCache>
                    </c15:dlblFTEntry>
                  </c15:dlblFieldTable>
                  <c15:showDataLabelsRange val="0"/>
                </c:ext>
                <c:ext xmlns:c16="http://schemas.microsoft.com/office/drawing/2014/chart" uri="{C3380CC4-5D6E-409C-BE32-E72D297353CC}">
                  <c16:uniqueId val="{0000002C-CF34-4389-B765-0425B8F1998E}"/>
                </c:ext>
              </c:extLst>
            </c:dLbl>
            <c:dLbl>
              <c:idx val="11"/>
              <c:tx>
                <c:strRef>
                  <c:f>Pin!$AT$35</c:f>
                  <c:strCache>
                    <c:ptCount val="1"/>
                    <c:pt idx="0">
                      <c:v>+14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{CD341D99-DCEC-41BF-9EA4-275C45AEF6B1}</c15:txfldGUID>
                      <c15:f>Pin!$AT$35</c15:f>
                      <c15:dlblFieldTableCache>
                        <c:ptCount val="1"/>
                        <c:pt idx="0">
                          <c:v>+14</c:v>
                        </c:pt>
                      </c15:dlblFieldTableCache>
                    </c15:dlblFTEntry>
                  </c15:dlblFieldTable>
                  <c15:showDataLabelsRange val="0"/>
                </c:ext>
                <c:ext xmlns:c16="http://schemas.microsoft.com/office/drawing/2014/chart" uri="{C3380CC4-5D6E-409C-BE32-E72D297353CC}">
                  <c16:uniqueId val="{0000002D-CF34-4389-B765-0425B8F1998E}"/>
                </c:ext>
              </c:extLst>
            </c:dLbl>
            <c:dLbl>
              <c:idx val="13"/>
              <c:tx>
                <c:strRef>
                  <c:f>Pin!$AT$37</c:f>
                  <c:strCache>
                    <c:ptCount val="1"/>
                    <c:pt idx="0">
                      <c:v>+11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{B8B7F57C-AAA9-4A58-955B-AE8EA7BB983A}</c15:txfldGUID>
                      <c15:f>Pin!$AT$37</c15:f>
                      <c15:dlblFieldTableCache>
                        <c:ptCount val="1"/>
                        <c:pt idx="0">
                          <c:v>+11</c:v>
                        </c:pt>
                      </c15:dlblFieldTableCache>
                    </c15:dlblFTEntry>
                  </c15:dlblFieldTable>
                  <c15:showDataLabelsRange val="0"/>
                </c:ext>
                <c:ext xmlns:c16="http://schemas.microsoft.com/office/drawing/2014/chart" uri="{C3380CC4-5D6E-409C-BE32-E72D297353CC}">
                  <c16:uniqueId val="{0000002E-CF34-4389-B765-0425B8F1998E}"/>
                </c:ext>
              </c:extLst>
            </c:dLbl>
            <c:dLbl>
              <c:idx val="17"/>
              <c:tx>
                <c:strRef>
                  <c:f>Pin!$AT$41</c:f>
                  <c:strCache>
                    <c:ptCount val="1"/>
                    <c:pt idx="0">
                      <c:v>+2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{EF9C5E2E-595F-4654-828B-A92469B8F62F}</c15:txfldGUID>
                      <c15:f>Pin!$AT$41</c15:f>
                      <c15:dlblFieldTableCache>
                        <c:ptCount val="1"/>
                        <c:pt idx="0">
                          <c:v>+2</c:v>
                        </c:pt>
                      </c15:dlblFieldTableCache>
                    </c15:dlblFTEntry>
                  </c15:dlblFieldTable>
                  <c15:showDataLabelsRange val="0"/>
                </c:ext>
                <c:ext xmlns:c16="http://schemas.microsoft.com/office/drawing/2014/chart" uri="{C3380CC4-5D6E-409C-BE32-E72D297353CC}">
                  <c16:uniqueId val="{0000002F-CF34-4389-B765-0425B8F1998E}"/>
                </c:ext>
              </c:extLst>
            </c:dLbl>
            <c:dLbl>
              <c:idx val="26"/>
              <c:tx>
                <c:strRef>
                  <c:f>Pin!$AT$50</c:f>
                  <c:strCache>
                    <c:ptCount val="1"/>
                    <c:pt idx="0">
                      <c:v>+5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{53C35E68-4220-4074-BD8D-369A02EB2E0F}</c15:txfldGUID>
                      <c15:f>Pin!$AT$50</c15:f>
                      <c15:dlblFieldTableCache>
                        <c:ptCount val="1"/>
                        <c:pt idx="0">
                          <c:v>+5</c:v>
                        </c:pt>
                      </c15:dlblFieldTableCache>
                    </c15:dlblFTEntry>
                  </c15:dlblFieldTable>
                  <c15:showDataLabelsRange val="0"/>
                </c:ext>
                <c:ext xmlns:c16="http://schemas.microsoft.com/office/drawing/2014/chart" uri="{C3380CC4-5D6E-409C-BE32-E72D297353CC}">
                  <c16:uniqueId val="{00000030-CF34-4389-B765-0425B8F1998E}"/>
                </c:ext>
              </c:extLst>
            </c:dLbl>
            <c:dLbl>
              <c:idx val="29"/>
              <c:tx>
                <c:strRef>
                  <c:f>Pin!$AT$53</c:f>
                  <c:strCache>
                    <c:ptCount val="1"/>
                    <c:pt idx="0">
                      <c:v>+14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{8D8DD132-5C71-45B0-8FE6-95DF8624A8A6}</c15:txfldGUID>
                      <c15:f>Pin!$AT$53</c15:f>
                      <c15:dlblFieldTableCache>
                        <c:ptCount val="1"/>
                        <c:pt idx="0">
                          <c:v>+14</c:v>
                        </c:pt>
                      </c15:dlblFieldTableCache>
                    </c15:dlblFTEntry>
                  </c15:dlblFieldTable>
                  <c15:showDataLabelsRange val="0"/>
                </c:ext>
                <c:ext xmlns:c16="http://schemas.microsoft.com/office/drawing/2014/chart" uri="{C3380CC4-5D6E-409C-BE32-E72D297353CC}">
                  <c16:uniqueId val="{00000031-CF34-4389-B765-0425B8F1998E}"/>
                </c:ext>
              </c:extLst>
            </c:dLbl>
            <c:dLbl>
              <c:idx val="31"/>
              <c:tx>
                <c:strRef>
                  <c:f>Pin!$AT$55</c:f>
                  <c:strCache>
                    <c:ptCount val="1"/>
                    <c:pt idx="0">
                      <c:v>+11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{8357E896-1528-43EA-AEF9-6B705C2F2B8C}</c15:txfldGUID>
                      <c15:f>Pin!$AT$55</c15:f>
                      <c15:dlblFieldTableCache>
                        <c:ptCount val="1"/>
                        <c:pt idx="0">
                          <c:v>+11</c:v>
                        </c:pt>
                      </c15:dlblFieldTableCache>
                    </c15:dlblFTEntry>
                  </c15:dlblFieldTable>
                  <c15:showDataLabelsRange val="0"/>
                </c:ext>
                <c:ext xmlns:c16="http://schemas.microsoft.com/office/drawing/2014/chart" uri="{C3380CC4-5D6E-409C-BE32-E72D297353CC}">
                  <c16:uniqueId val="{00000032-CF34-4389-B765-0425B8F1998E}"/>
                </c:ext>
              </c:extLst>
            </c:dLbl>
            <c:dLbl>
              <c:idx val="33"/>
              <c:tx>
                <c:strRef>
                  <c:f>Pin!$AT$57</c:f>
                  <c:strCache>
                    <c:ptCount val="1"/>
                    <c:pt idx="0">
                      <c:v>+8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{9527E680-3490-4C6D-B66B-84C2DBED1409}</c15:txfldGUID>
                      <c15:f>Pin!$AT$57</c15:f>
                      <c15:dlblFieldTableCache>
                        <c:ptCount val="1"/>
                        <c:pt idx="0">
                          <c:v>+8</c:v>
                        </c:pt>
                      </c15:dlblFieldTableCache>
                    </c15:dlblFTEntry>
                  </c15:dlblFieldTable>
                  <c15:showDataLabelsRange val="0"/>
                </c:ext>
                <c:ext xmlns:c16="http://schemas.microsoft.com/office/drawing/2014/chart" uri="{C3380CC4-5D6E-409C-BE32-E72D297353CC}">
                  <c16:uniqueId val="{00000033-CF34-4389-B765-0425B8F1998E}"/>
                </c:ext>
              </c:extLst>
            </c:dLbl>
            <c:dLbl>
              <c:idx val="34"/>
              <c:tx>
                <c:strRef>
                  <c:f>Pin!$AT$58</c:f>
                  <c:strCache>
                    <c:ptCount val="1"/>
                    <c:pt idx="0">
                      <c:v>+23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{9E94D560-6578-43B0-A328-66C8C885D9EF}</c15:txfldGUID>
                      <c15:f>Pin!$AT$58</c15:f>
                      <c15:dlblFieldTableCache>
                        <c:ptCount val="1"/>
                        <c:pt idx="0">
                          <c:v>+23</c:v>
                        </c:pt>
                      </c15:dlblFieldTableCache>
                    </c15:dlblFTEntry>
                  </c15:dlblFieldTable>
                  <c15:showDataLabelsRange val="0"/>
                </c:ext>
                <c:ext xmlns:c16="http://schemas.microsoft.com/office/drawing/2014/chart" uri="{C3380CC4-5D6E-409C-BE32-E72D297353CC}">
                  <c16:uniqueId val="{00000034-CF34-4389-B765-0425B8F1998E}"/>
                </c:ext>
              </c:extLst>
            </c:dLbl>
            <c:dLbl>
              <c:idx val="35"/>
              <c:tx>
                <c:strRef>
                  <c:f>Pin!$AT$59</c:f>
                  <c:strCache>
                    <c:ptCount val="1"/>
                    <c:pt idx="0">
                      <c:v>+5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{B4C0980D-7F9D-4357-B0B3-06C547CD9D16}</c15:txfldGUID>
                      <c15:f>Pin!$AT$59</c15:f>
                      <c15:dlblFieldTableCache>
                        <c:ptCount val="1"/>
                        <c:pt idx="0">
                          <c:v>+5</c:v>
                        </c:pt>
                      </c15:dlblFieldTableCache>
                    </c15:dlblFTEntry>
                  </c15:dlblFieldTable>
                  <c15:showDataLabelsRange val="0"/>
                </c:ext>
                <c:ext xmlns:c16="http://schemas.microsoft.com/office/drawing/2014/chart" uri="{C3380CC4-5D6E-409C-BE32-E72D297353CC}">
                  <c16:uniqueId val="{00000035-CF34-4389-B765-0425B8F1998E}"/>
                </c:ext>
              </c:extLst>
            </c:dLbl>
            <c:dLbl>
              <c:idx val="36"/>
              <c:tx>
                <c:strRef>
                  <c:f>Pin!$AT$60</c:f>
                  <c:strCache>
                    <c:ptCount val="1"/>
                    <c:pt idx="0">
                      <c:v>+20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{D947F5E4-E0CA-402B-9CD7-241EFEA95C1B}</c15:txfldGUID>
                      <c15:f>Pin!$AT$60</c15:f>
                      <c15:dlblFieldTableCache>
                        <c:ptCount val="1"/>
                        <c:pt idx="0">
                          <c:v>+20</c:v>
                        </c:pt>
                      </c15:dlblFieldTableCache>
                    </c15:dlblFTEntry>
                  </c15:dlblFieldTable>
                  <c15:showDataLabelsRange val="0"/>
                </c:ext>
                <c:ext xmlns:c16="http://schemas.microsoft.com/office/drawing/2014/chart" uri="{C3380CC4-5D6E-409C-BE32-E72D297353CC}">
                  <c16:uniqueId val="{00000036-CF34-4389-B765-0425B8F1998E}"/>
                </c:ext>
              </c:extLst>
            </c:dLbl>
            <c:dLbl>
              <c:idx val="37"/>
              <c:tx>
                <c:strRef>
                  <c:f>Pin!$AT$61</c:f>
                  <c:strCache>
                    <c:ptCount val="1"/>
                    <c:pt idx="0">
                      <c:v>+2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{A441A2C9-8FDD-4B24-8982-7DBC06A05E4C}</c15:txfldGUID>
                      <c15:f>Pin!$AT$61</c15:f>
                      <c15:dlblFieldTableCache>
                        <c:ptCount val="1"/>
                        <c:pt idx="0">
                          <c:v>+2</c:v>
                        </c:pt>
                      </c15:dlblFieldTableCache>
                    </c15:dlblFTEntry>
                  </c15:dlblFieldTable>
                  <c15:showDataLabelsRange val="0"/>
                </c:ext>
                <c:ext xmlns:c16="http://schemas.microsoft.com/office/drawing/2014/chart" uri="{C3380CC4-5D6E-409C-BE32-E72D297353CC}">
                  <c16:uniqueId val="{00000037-CF34-4389-B765-0425B8F1998E}"/>
                </c:ext>
              </c:extLst>
            </c:dLbl>
            <c:dLbl>
              <c:idx val="38"/>
              <c:tx>
                <c:strRef>
                  <c:f>Pin!$AT$62</c:f>
                  <c:strCache>
                    <c:ptCount val="1"/>
                    <c:pt idx="0">
                      <c:v>+17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{9DFC8EDD-E11D-42CD-908F-D686E828FADB}</c15:txfldGUID>
                      <c15:f>Pin!$AT$62</c15:f>
                      <c15:dlblFieldTableCache>
                        <c:ptCount val="1"/>
                        <c:pt idx="0">
                          <c:v>+17</c:v>
                        </c:pt>
                      </c15:dlblFieldTableCache>
                    </c15:dlblFTEntry>
                  </c15:dlblFieldTable>
                  <c15:showDataLabelsRange val="0"/>
                </c:ext>
                <c:ext xmlns:c16="http://schemas.microsoft.com/office/drawing/2014/chart" uri="{C3380CC4-5D6E-409C-BE32-E72D297353CC}">
                  <c16:uniqueId val="{00000038-CF34-4389-B765-0425B8F1998E}"/>
                </c:ext>
              </c:extLst>
            </c:dLbl>
            <c:dLbl>
              <c:idx val="40"/>
              <c:tx>
                <c:strRef>
                  <c:f>Pin!$AT$64</c:f>
                  <c:strCache>
                    <c:ptCount val="1"/>
                    <c:pt idx="0">
                      <c:v>+14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{642DCAF5-F206-4969-9CDA-22307977F5C7}</c15:txfldGUID>
                      <c15:f>Pin!$AT$64</c15:f>
                      <c15:dlblFieldTableCache>
                        <c:ptCount val="1"/>
                        <c:pt idx="0">
                          <c:v>+14</c:v>
                        </c:pt>
                      </c15:dlblFieldTableCache>
                    </c15:dlblFTEntry>
                  </c15:dlblFieldTable>
                  <c15:showDataLabelsRange val="0"/>
                </c:ext>
                <c:ext xmlns:c16="http://schemas.microsoft.com/office/drawing/2014/chart" uri="{C3380CC4-5D6E-409C-BE32-E72D297353CC}">
                  <c16:uniqueId val="{00000039-CF34-4389-B765-0425B8F199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errBars>
            <c:errDir val="y"/>
            <c:errBarType val="minus"/>
            <c:errValType val="cust"/>
            <c:noEndCap val="1"/>
            <c:minus>
              <c:numRef>
                <c:f>Pin!$AK$24:$AK$64</c:f>
                <c:numCache>
                  <c:formatCode>General</c:formatCode>
                  <c:ptCount val="41"/>
                  <c:pt idx="0">
                    <c:v>0</c:v>
                  </c:pt>
                  <c:pt idx="1">
                    <c:v>0</c:v>
                  </c:pt>
                  <c:pt idx="2">
                    <c:v>0</c:v>
                  </c:pt>
                  <c:pt idx="3">
                    <c:v>0</c:v>
                  </c:pt>
                  <c:pt idx="4">
                    <c:v>0.10933333333333332</c:v>
                  </c:pt>
                  <c:pt idx="5">
                    <c:v>0</c:v>
                  </c:pt>
                  <c:pt idx="6">
                    <c:v>6.8333333333333329E-2</c:v>
                  </c:pt>
                  <c:pt idx="7">
                    <c:v>0.27333333333333332</c:v>
                  </c:pt>
                  <c:pt idx="8">
                    <c:v>2.7333333333333331E-2</c:v>
                  </c:pt>
                  <c:pt idx="9">
                    <c:v>0.23233333333333331</c:v>
                  </c:pt>
                  <c:pt idx="10">
                    <c:v>0</c:v>
                  </c:pt>
                  <c:pt idx="11">
                    <c:v>0.19133333333333333</c:v>
                  </c:pt>
                  <c:pt idx="12">
                    <c:v>0</c:v>
                  </c:pt>
                  <c:pt idx="13">
                    <c:v>0.15033333333333332</c:v>
                  </c:pt>
                  <c:pt idx="14">
                    <c:v>0</c:v>
                  </c:pt>
                  <c:pt idx="15">
                    <c:v>0</c:v>
                  </c:pt>
                  <c:pt idx="16">
                    <c:v>0</c:v>
                  </c:pt>
                  <c:pt idx="17">
                    <c:v>2.7333333333333331E-2</c:v>
                  </c:pt>
                  <c:pt idx="18">
                    <c:v>0</c:v>
                  </c:pt>
                  <c:pt idx="19">
                    <c:v>0</c:v>
                  </c:pt>
                  <c:pt idx="20">
                    <c:v>0</c:v>
                  </c:pt>
                  <c:pt idx="21">
                    <c:v>0</c:v>
                  </c:pt>
                  <c:pt idx="22">
                    <c:v>0</c:v>
                  </c:pt>
                  <c:pt idx="23">
                    <c:v>0</c:v>
                  </c:pt>
                  <c:pt idx="24">
                    <c:v>0</c:v>
                  </c:pt>
                  <c:pt idx="25">
                    <c:v>0</c:v>
                  </c:pt>
                  <c:pt idx="26">
                    <c:v>6.8333333333333329E-2</c:v>
                  </c:pt>
                  <c:pt idx="27">
                    <c:v>0</c:v>
                  </c:pt>
                  <c:pt idx="28">
                    <c:v>0</c:v>
                  </c:pt>
                  <c:pt idx="29">
                    <c:v>0.1845</c:v>
                  </c:pt>
                  <c:pt idx="30">
                    <c:v>0</c:v>
                  </c:pt>
                  <c:pt idx="31">
                    <c:v>0.14349999999999999</c:v>
                  </c:pt>
                  <c:pt idx="32">
                    <c:v>0</c:v>
                  </c:pt>
                  <c:pt idx="33">
                    <c:v>0.10249999999999999</c:v>
                  </c:pt>
                  <c:pt idx="34">
                    <c:v>0.3075</c:v>
                  </c:pt>
                  <c:pt idx="35">
                    <c:v>6.1499999999999992E-2</c:v>
                  </c:pt>
                  <c:pt idx="36">
                    <c:v>0.26650000000000001</c:v>
                  </c:pt>
                  <c:pt idx="37">
                    <c:v>2.0500000000000001E-2</c:v>
                  </c:pt>
                  <c:pt idx="38">
                    <c:v>0.22550000000000001</c:v>
                  </c:pt>
                  <c:pt idx="39">
                    <c:v>0</c:v>
                  </c:pt>
                  <c:pt idx="40">
                    <c:v>0.1845</c:v>
                  </c:pt>
                </c:numCache>
              </c:numRef>
            </c:minus>
            <c:spPr>
              <a:ln w="19050">
                <a:solidFill>
                  <a:srgbClr val="8CB400"/>
                </a:solidFill>
              </a:ln>
            </c:spPr>
          </c:errBars>
          <c:cat>
            <c:strRef>
              <c:f>Pin!$Y$24:$Y$64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Pin!$AB$24:$AB$64</c:f>
              <c:numCache>
                <c:formatCode>General</c:formatCode>
                <c:ptCount val="41"/>
                <c:pt idx="0">
                  <c:v>#N/A</c:v>
                </c:pt>
                <c:pt idx="1">
                  <c:v>#N/A</c:v>
                </c:pt>
                <c:pt idx="2">
                  <c:v>#N/A</c:v>
                </c:pt>
                <c:pt idx="3">
                  <c:v>#N/A</c:v>
                </c:pt>
                <c:pt idx="4">
                  <c:v>1.5193333333333334</c:v>
                </c:pt>
                <c:pt idx="5">
                  <c:v>#N/A</c:v>
                </c:pt>
                <c:pt idx="6">
                  <c:v>1.4783333333333333</c:v>
                </c:pt>
                <c:pt idx="7">
                  <c:v>1.6833333333333333</c:v>
                </c:pt>
                <c:pt idx="8">
                  <c:v>1.4373333333333334</c:v>
                </c:pt>
                <c:pt idx="9">
                  <c:v>1.6423333333333332</c:v>
                </c:pt>
                <c:pt idx="10">
                  <c:v>#N/A</c:v>
                </c:pt>
                <c:pt idx="11">
                  <c:v>1.6013333333333333</c:v>
                </c:pt>
                <c:pt idx="12">
                  <c:v>#N/A</c:v>
                </c:pt>
                <c:pt idx="13">
                  <c:v>1.5603333333333333</c:v>
                </c:pt>
                <c:pt idx="14">
                  <c:v>#N/A</c:v>
                </c:pt>
                <c:pt idx="15">
                  <c:v>#N/A</c:v>
                </c:pt>
                <c:pt idx="16">
                  <c:v>#N/A</c:v>
                </c:pt>
                <c:pt idx="17">
                  <c:v>1.4373333333333334</c:v>
                </c:pt>
                <c:pt idx="18">
                  <c:v>#N/A</c:v>
                </c:pt>
                <c:pt idx="19">
                  <c:v>#N/A</c:v>
                </c:pt>
                <c:pt idx="20">
                  <c:v>#N/A</c:v>
                </c:pt>
                <c:pt idx="21">
                  <c:v>#N/A</c:v>
                </c:pt>
                <c:pt idx="22">
                  <c:v>#N/A</c:v>
                </c:pt>
                <c:pt idx="23">
                  <c:v>#N/A</c:v>
                </c:pt>
                <c:pt idx="24">
                  <c:v>#N/A</c:v>
                </c:pt>
                <c:pt idx="25">
                  <c:v>#N/A</c:v>
                </c:pt>
                <c:pt idx="26">
                  <c:v>1.4783333333333333</c:v>
                </c:pt>
                <c:pt idx="27">
                  <c:v>#N/A</c:v>
                </c:pt>
                <c:pt idx="28">
                  <c:v>#N/A</c:v>
                </c:pt>
                <c:pt idx="29">
                  <c:v>1.5945</c:v>
                </c:pt>
                <c:pt idx="30">
                  <c:v>#N/A</c:v>
                </c:pt>
                <c:pt idx="31">
                  <c:v>1.5535000000000001</c:v>
                </c:pt>
                <c:pt idx="32">
                  <c:v>#N/A</c:v>
                </c:pt>
                <c:pt idx="33">
                  <c:v>1.5125</c:v>
                </c:pt>
                <c:pt idx="34">
                  <c:v>1.7174999999999998</c:v>
                </c:pt>
                <c:pt idx="35">
                  <c:v>1.4714999999999998</c:v>
                </c:pt>
                <c:pt idx="36">
                  <c:v>1.6764999999999999</c:v>
                </c:pt>
                <c:pt idx="37">
                  <c:v>1.4304999999999999</c:v>
                </c:pt>
                <c:pt idx="38">
                  <c:v>1.6355</c:v>
                </c:pt>
                <c:pt idx="39">
                  <c:v>#N/A</c:v>
                </c:pt>
                <c:pt idx="40">
                  <c:v>1.5945</c:v>
                </c:pt>
              </c:numCache>
            </c:numRef>
          </c:val>
          <c:smooth val="0"/>
          <c:extLst>
            <c:ext xmlns:c16="http://schemas.microsoft.com/office/drawing/2014/chart" uri="{C3380CC4-5D6E-409C-BE32-E72D297353CC}">
              <c16:uniqueId val="{00000027-CF34-4389-B765-0425B8F1998E}"/>
            </c:ext>
          </c:extLst>
        </c:ser>
        <c:ser>
          <c:idx val="3"/>
          <c:order val="3"/>
          <c:tx>
            <c:v> </c:v>
          </c:tx>
          <c:spPr>
            <a:ln w="38100">
              <a:noFill/>
            </a:ln>
          </c:spPr>
          <c:marker>
            <c:symbol val="square"/>
            <c:size val="4"/>
            <c:spPr>
              <a:solidFill>
                <a:srgbClr val="404040"/>
              </a:solidFill>
              <a:ln>
                <a:solidFill>
                  <a:srgbClr val="404040"/>
                </a:solidFill>
                <a:prstDash val="solid"/>
              </a:ln>
            </c:spPr>
          </c:marker>
          <c:dLbls>
            <c:dLbl>
              <c:idx val="3"/>
              <c:tx>
                <c:strRef>
                  <c:f>Pin!$AU$27</c:f>
                  <c:strCache>
                    <c:ptCount val="1"/>
                    <c:pt idx="0">
                      <c:v>-7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{13D303BE-9CAE-4E46-BC13-3E11DB5A9941}</c15:txfldGUID>
                      <c15:f>Pin!$AU$27</c15:f>
                      <c15:dlblFieldTableCache>
                        <c:ptCount val="1"/>
                        <c:pt idx="0">
                          <c:v>-7</c:v>
                        </c:pt>
                      </c15:dlblFieldTableCache>
                    </c15:dlblFTEntry>
                  </c15:dlblFieldTable>
                  <c15:showDataLabelsRange val="0"/>
                </c:ext>
                <c:ext xmlns:c16="http://schemas.microsoft.com/office/drawing/2014/chart" uri="{C3380CC4-5D6E-409C-BE32-E72D297353CC}">
                  <c16:uniqueId val="{0000003B-CF34-4389-B765-0425B8F1998E}"/>
                </c:ext>
              </c:extLst>
            </c:dLbl>
            <c:dLbl>
              <c:idx val="5"/>
              <c:tx>
                <c:strRef>
                  <c:f>Pin!$AU$29</c:f>
                  <c:strCache>
                    <c:ptCount val="1"/>
                    <c:pt idx="0">
                      <c:v>-10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{08D43215-167C-46F3-973E-3CCF528D6B9C}</c15:txfldGUID>
                      <c15:f>Pin!$AU$29</c15:f>
                      <c15:dlblFieldTableCache>
                        <c:ptCount val="1"/>
                        <c:pt idx="0">
                          <c:v>-10</c:v>
                        </c:pt>
                      </c15:dlblFieldTableCache>
                    </c15:dlblFTEntry>
                  </c15:dlblFieldTable>
                  <c15:showDataLabelsRange val="0"/>
                </c:ext>
                <c:ext xmlns:c16="http://schemas.microsoft.com/office/drawing/2014/chart" uri="{C3380CC4-5D6E-409C-BE32-E72D297353CC}">
                  <c16:uniqueId val="{0000003C-CF34-4389-B765-0425B8F1998E}"/>
                </c:ext>
              </c:extLst>
            </c:dLbl>
            <c:dLbl>
              <c:idx val="10"/>
              <c:tx>
                <c:strRef>
                  <c:f>Pin!$AU$34</c:f>
                  <c:strCache>
                    <c:ptCount val="1"/>
                    <c:pt idx="0">
                      <c:v>-1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{148DBEF9-8B8A-406D-B186-B60A3412C612}</c15:txfldGUID>
                      <c15:f>Pin!$AU$34</c15:f>
                      <c15:dlblFieldTableCache>
                        <c:ptCount val="1"/>
                        <c:pt idx="0">
                          <c:v>-1</c:v>
                        </c:pt>
                      </c15:dlblFieldTableCache>
                    </c15:dlblFTEntry>
                  </c15:dlblFieldTable>
                  <c15:showDataLabelsRange val="0"/>
                </c:ext>
                <c:ext xmlns:c16="http://schemas.microsoft.com/office/drawing/2014/chart" uri="{C3380CC4-5D6E-409C-BE32-E72D297353CC}">
                  <c16:uniqueId val="{0000003D-CF34-4389-B765-0425B8F1998E}"/>
                </c:ext>
              </c:extLst>
            </c:dLbl>
            <c:dLbl>
              <c:idx val="12"/>
              <c:tx>
                <c:strRef>
                  <c:f>Pin!$AU$36</c:f>
                  <c:strCache>
                    <c:ptCount val="1"/>
                    <c:pt idx="0">
                      <c:v>-4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{C6A07665-29C4-4DF2-99A6-4331244B16B8}</c15:txfldGUID>
                      <c15:f>Pin!$AU$36</c15:f>
                      <c15:dlblFieldTableCache>
                        <c:ptCount val="1"/>
                        <c:pt idx="0">
                          <c:v>-4</c:v>
                        </c:pt>
                      </c15:dlblFieldTableCache>
                    </c15:dlblFTEntry>
                  </c15:dlblFieldTable>
                  <c15:showDataLabelsRange val="0"/>
                </c:ext>
                <c:ext xmlns:c16="http://schemas.microsoft.com/office/drawing/2014/chart" uri="{C3380CC4-5D6E-409C-BE32-E72D297353CC}">
                  <c16:uniqueId val="{0000003E-CF34-4389-B765-0425B8F1998E}"/>
                </c:ext>
              </c:extLst>
            </c:dLbl>
            <c:dLbl>
              <c:idx val="14"/>
              <c:tx>
                <c:strRef>
                  <c:f>Pin!$AU$38</c:f>
                  <c:strCache>
                    <c:ptCount val="1"/>
                    <c:pt idx="0">
                      <c:v>-7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{18E6BEB2-649B-4A24-A040-D7E4EB2125C9}</c15:txfldGUID>
                      <c15:f>Pin!$AU$38</c15:f>
                      <c15:dlblFieldTableCache>
                        <c:ptCount val="1"/>
                        <c:pt idx="0">
                          <c:v>-7</c:v>
                        </c:pt>
                      </c15:dlblFieldTableCache>
                    </c15:dlblFTEntry>
                  </c15:dlblFieldTable>
                  <c15:showDataLabelsRange val="0"/>
                </c:ext>
                <c:ext xmlns:c16="http://schemas.microsoft.com/office/drawing/2014/chart" uri="{C3380CC4-5D6E-409C-BE32-E72D297353CC}">
                  <c16:uniqueId val="{0000003F-CF34-4389-B765-0425B8F1998E}"/>
                </c:ext>
              </c:extLst>
            </c:dLbl>
            <c:dLbl>
              <c:idx val="16"/>
              <c:tx>
                <c:strRef>
                  <c:f>Pin!$AU$40</c:f>
                  <c:strCache>
                    <c:ptCount val="1"/>
                    <c:pt idx="0">
                      <c:v>-13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{CA5057C5-0F5D-463E-9EFC-BFD52C5BC6B6}</c15:txfldGUID>
                      <c15:f>Pin!$AU$40</c15:f>
                      <c15:dlblFieldTableCache>
                        <c:ptCount val="1"/>
                        <c:pt idx="0">
                          <c:v>-13</c:v>
                        </c:pt>
                      </c15:dlblFieldTableCache>
                    </c15:dlblFTEntry>
                  </c15:dlblFieldTable>
                  <c15:showDataLabelsRange val="0"/>
                </c:ext>
                <c:ext xmlns:c16="http://schemas.microsoft.com/office/drawing/2014/chart" uri="{C3380CC4-5D6E-409C-BE32-E72D297353CC}">
                  <c16:uniqueId val="{00000040-CF34-4389-B765-0425B8F1998E}"/>
                </c:ext>
              </c:extLst>
            </c:dLbl>
            <c:dLbl>
              <c:idx val="18"/>
              <c:tx>
                <c:strRef>
                  <c:f>Pin!$AU$42</c:f>
                  <c:strCache>
                    <c:ptCount val="1"/>
                    <c:pt idx="0">
                      <c:v>-16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{89BD6D15-29B6-4A2C-9CEE-9D1E7C678B56}</c15:txfldGUID>
                      <c15:f>Pin!$AU$42</c15:f>
                      <c15:dlblFieldTableCache>
                        <c:ptCount val="1"/>
                        <c:pt idx="0">
                          <c:v>-16</c:v>
                        </c:pt>
                      </c15:dlblFieldTableCache>
                    </c15:dlblFTEntry>
                  </c15:dlblFieldTable>
                  <c15:showDataLabelsRange val="0"/>
                </c:ext>
                <c:ext xmlns:c16="http://schemas.microsoft.com/office/drawing/2014/chart" uri="{C3380CC4-5D6E-409C-BE32-E72D297353CC}">
                  <c16:uniqueId val="{00000041-CF34-4389-B765-0425B8F1998E}"/>
                </c:ext>
              </c:extLst>
            </c:dLbl>
            <c:dLbl>
              <c:idx val="19"/>
              <c:tx>
                <c:strRef>
                  <c:f>Pin!$AU$43</c:f>
                  <c:strCache>
                    <c:ptCount val="1"/>
                    <c:pt idx="0">
                      <c:v>-1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{1269B554-2C95-4399-AD76-7E1FCC48CBB6}</c15:txfldGUID>
                      <c15:f>Pin!$AU$43</c15:f>
                      <c15:dlblFieldTableCache>
                        <c:ptCount val="1"/>
                        <c:pt idx="0">
                          <c:v>-1</c:v>
                        </c:pt>
                      </c15:dlblFieldTableCache>
                    </c15:dlblFTEntry>
                  </c15:dlblFieldTable>
                  <c15:showDataLabelsRange val="0"/>
                </c:ext>
                <c:ext xmlns:c16="http://schemas.microsoft.com/office/drawing/2014/chart" uri="{C3380CC4-5D6E-409C-BE32-E72D297353CC}">
                  <c16:uniqueId val="{00000042-CF34-4389-B765-0425B8F1998E}"/>
                </c:ext>
              </c:extLst>
            </c:dLbl>
            <c:dLbl>
              <c:idx val="20"/>
              <c:tx>
                <c:strRef>
                  <c:f>Pin!$AU$44</c:f>
                  <c:strCache>
                    <c:ptCount val="1"/>
                    <c:pt idx="0">
                      <c:v>-19</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{E8203D3E-3779-4149-8C04-616B06D6394F}</c15:txfldGUID>
                      <c15:f>Pin!$AU$44</c15:f>
                      <c15:dlblFieldTableCache>
                        <c:ptCount val="1"/>
                        <c:pt idx="0">
                          <c:v>-19</c:v>
                        </c:pt>
                      </c15:dlblFieldTableCache>
                    </c15:dlblFTEntry>
                  </c15:dlblFieldTable>
                  <c15:showDataLabelsRange val="0"/>
                </c:ext>
                <c:ext xmlns:c16="http://schemas.microsoft.com/office/drawing/2014/chart" uri="{C3380CC4-5D6E-409C-BE32-E72D297353CC}">
                  <c16:uniqueId val="{00000043-CF34-4389-B765-0425B8F1998E}"/>
                </c:ext>
              </c:extLst>
            </c:dLbl>
            <c:dLbl>
              <c:idx val="21"/>
              <c:tx>
                <c:strRef>
                  <c:f>Pin!$AU$45</c:f>
                  <c:strCache>
                    <c:ptCount val="1"/>
                    <c:pt idx="0">
                      <c:v>-4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{BF74419C-2033-408C-A99A-A6DFE59C89C5}</c15:txfldGUID>
                      <c15:f>Pin!$AU$45</c15:f>
                      <c15:dlblFieldTableCache>
                        <c:ptCount val="1"/>
                        <c:pt idx="0">
                          <c:v>-4</c:v>
                        </c:pt>
                      </c15:dlblFieldTableCache>
                    </c15:dlblFTEntry>
                  </c15:dlblFieldTable>
                  <c15:showDataLabelsRange val="0"/>
                </c:ext>
                <c:ext xmlns:c16="http://schemas.microsoft.com/office/drawing/2014/chart" uri="{C3380CC4-5D6E-409C-BE32-E72D297353CC}">
                  <c16:uniqueId val="{00000044-CF34-4389-B765-0425B8F1998E}"/>
                </c:ext>
              </c:extLst>
            </c:dLbl>
            <c:dLbl>
              <c:idx val="22"/>
              <c:tx>
                <c:strRef>
                  <c:f>Pin!$AU$46</c:f>
                  <c:strCache>
                    <c:ptCount val="1"/>
                    <c:pt idx="0">
                      <c:v>-22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{B598EFFE-E450-484F-955E-A996B2D5DDDD}</c15:txfldGUID>
                      <c15:f>Pin!$AU$46</c15:f>
                      <c15:dlblFieldTableCache>
                        <c:ptCount val="1"/>
                        <c:pt idx="0">
                          <c:v>-22</c:v>
                        </c:pt>
                      </c15:dlblFieldTableCache>
                    </c15:dlblFTEntry>
                  </c15:dlblFieldTable>
                  <c15:showDataLabelsRange val="0"/>
                </c:ext>
                <c:ext xmlns:c16="http://schemas.microsoft.com/office/drawing/2014/chart" uri="{C3380CC4-5D6E-409C-BE32-E72D297353CC}">
                  <c16:uniqueId val="{00000045-CF34-4389-B765-0425B8F1998E}"/>
                </c:ext>
              </c:extLst>
            </c:dLbl>
            <c:dLbl>
              <c:idx val="23"/>
              <c:tx>
                <c:strRef>
                  <c:f>Pin!$AU$47</c:f>
                  <c:strCache>
                    <c:ptCount val="1"/>
                    <c:pt idx="0">
                      <c:v>-7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{8A767DD5-7AA0-4715-8E8B-237663B31862}</c15:txfldGUID>
                      <c15:f>Pin!$AU$47</c15:f>
                      <c15:dlblFieldTableCache>
                        <c:ptCount val="1"/>
                        <c:pt idx="0">
                          <c:v>-7</c:v>
                        </c:pt>
                      </c15:dlblFieldTableCache>
                    </c15:dlblFTEntry>
                  </c15:dlblFieldTable>
                  <c15:showDataLabelsRange val="0"/>
                </c:ext>
                <c:ext xmlns:c16="http://schemas.microsoft.com/office/drawing/2014/chart" uri="{C3380CC4-5D6E-409C-BE32-E72D297353CC}">
                  <c16:uniqueId val="{00000046-CF34-4389-B765-0425B8F1998E}"/>
                </c:ext>
              </c:extLst>
            </c:dLbl>
            <c:dLbl>
              <c:idx val="24"/>
              <c:tx>
                <c:strRef>
                  <c:f>Pin!$AU$48</c:f>
                  <c:strCache>
                    <c:ptCount val="1"/>
                    <c:pt idx="0">
                      <c:v>-25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{734CC8B3-B397-4C34-8B78-59C974D3332D}</c15:txfldGUID>
                      <c15:f>Pin!$AU$48</c15:f>
                      <c15:dlblFieldTableCache>
                        <c:ptCount val="1"/>
                        <c:pt idx="0">
                          <c:v>-25</c:v>
                        </c:pt>
                      </c15:dlblFieldTableCache>
                    </c15:dlblFTEntry>
                  </c15:dlblFieldTable>
                  <c15:showDataLabelsRange val="0"/>
                </c:ext>
                <c:ext xmlns:c16="http://schemas.microsoft.com/office/drawing/2014/chart" uri="{C3380CC4-5D6E-409C-BE32-E72D297353CC}">
                  <c16:uniqueId val="{00000047-CF34-4389-B765-0425B8F1998E}"/>
                </c:ext>
              </c:extLst>
            </c:dLbl>
            <c:dLbl>
              <c:idx val="25"/>
              <c:tx>
                <c:strRef>
                  <c:f>Pin!$AU$49</c:f>
                  <c:strCache>
                    <c:ptCount val="1"/>
                    <c:pt idx="0">
                      <c:v>-10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{680ECEE3-1F48-4781-AD12-8C1EF5F1F3C7}</c15:txfldGUID>
                      <c15:f>Pin!$AU$49</c15:f>
                      <c15:dlblFieldTableCache>
                        <c:ptCount val="1"/>
                        <c:pt idx="0">
                          <c:v>-10</c:v>
                        </c:pt>
                      </c15:dlblFieldTableCache>
                    </c15:dlblFTEntry>
                  </c15:dlblFieldTable>
                  <c15:showDataLabelsRange val="0"/>
                </c:ext>
                <c:ext xmlns:c16="http://schemas.microsoft.com/office/drawing/2014/chart" uri="{C3380CC4-5D6E-409C-BE32-E72D297353CC}">
                  <c16:uniqueId val="{00000048-CF34-4389-B765-0425B8F1998E}"/>
                </c:ext>
              </c:extLst>
            </c:dLbl>
            <c:dLbl>
              <c:idx val="27"/>
              <c:tx>
                <c:strRef>
                  <c:f>Pin!$AU$51</c:f>
                  <c:strCache>
                    <c:ptCount val="1"/>
                    <c:pt idx="0">
                      <c:v>-13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{D5796EBB-0966-426C-9ADF-199DD9B5508F}</c15:txfldGUID>
                      <c15:f>Pin!$AU$51</c15:f>
                      <c15:dlblFieldTableCache>
                        <c:ptCount val="1"/>
                        <c:pt idx="0">
                          <c:v>-13</c:v>
                        </c:pt>
                      </c15:dlblFieldTableCache>
                    </c15:dlblFTEntry>
                  </c15:dlblFieldTable>
                  <c15:showDataLabelsRange val="0"/>
                </c:ext>
                <c:ext xmlns:c16="http://schemas.microsoft.com/office/drawing/2014/chart" uri="{C3380CC4-5D6E-409C-BE32-E72D297353CC}">
                  <c16:uniqueId val="{00000049-CF34-4389-B765-0425B8F1998E}"/>
                </c:ext>
              </c:extLst>
            </c:dLbl>
            <c:dLbl>
              <c:idx val="30"/>
              <c:tx>
                <c:strRef>
                  <c:f>Pin!$AU$54</c:f>
                  <c:strCache>
                    <c:ptCount val="1"/>
                    <c:pt idx="0">
                      <c:v>-5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{8884FF99-AB20-4577-B926-E56CD7FD4373}</c15:txfldGUID>
                      <c15:f>Pin!$AU$54</c15:f>
                      <c15:dlblFieldTableCache>
                        <c:ptCount val="1"/>
                        <c:pt idx="0">
                          <c:v>-5</c:v>
                        </c:pt>
                      </c15:dlblFieldTableCache>
                    </c15:dlblFTEntry>
                  </c15:dlblFieldTable>
                  <c15:showDataLabelsRange val="0"/>
                </c:ext>
                <c:ext xmlns:c16="http://schemas.microsoft.com/office/drawing/2014/chart" uri="{C3380CC4-5D6E-409C-BE32-E72D297353CC}">
                  <c16:uniqueId val="{0000004A-CF34-4389-B765-0425B8F1998E}"/>
                </c:ext>
              </c:extLst>
            </c:dLbl>
            <c:dLbl>
              <c:idx val="32"/>
              <c:tx>
                <c:strRef>
                  <c:f>Pin!$AU$56</c:f>
                  <c:strCache>
                    <c:ptCount val="1"/>
                    <c:pt idx="0">
                      <c:v>-8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{9FABF23E-1E22-4F69-8F3D-01D1A4C97ADC}</c15:txfldGUID>
                      <c15:f>Pin!$AU$56</c15:f>
                      <c15:dlblFieldTableCache>
                        <c:ptCount val="1"/>
                        <c:pt idx="0">
                          <c:v>-8</c:v>
                        </c:pt>
                      </c15:dlblFieldTableCache>
                    </c15:dlblFTEntry>
                  </c15:dlblFieldTable>
                  <c15:showDataLabelsRange val="0"/>
                </c:ext>
                <c:ext xmlns:c16="http://schemas.microsoft.com/office/drawing/2014/chart" uri="{C3380CC4-5D6E-409C-BE32-E72D297353CC}">
                  <c16:uniqueId val="{0000004B-CF34-4389-B765-0425B8F1998E}"/>
                </c:ext>
              </c:extLst>
            </c:dLbl>
            <c:dLbl>
              <c:idx val="39"/>
              <c:tx>
                <c:strRef>
                  <c:f>Pin!$AU$63</c:f>
                  <c:strCache>
                    <c:ptCount val="1"/>
                    <c:pt idx="0">
                      <c:v>-2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{C3FCEA1D-75BB-454A-A136-9DC541686DAE}</c15:txfldGUID>
                      <c15:f>Pin!$AU$63</c15:f>
                      <c15:dlblFieldTableCache>
                        <c:ptCount val="1"/>
                        <c:pt idx="0">
                          <c:v>-2</c:v>
                        </c:pt>
                      </c15:dlblFieldTableCache>
                    </c15:dlblFTEntry>
                  </c15:dlblFieldTable>
                  <c15:showDataLabelsRange val="0"/>
                </c:ext>
                <c:ext xmlns:c16="http://schemas.microsoft.com/office/drawing/2014/chart" uri="{C3380CC4-5D6E-409C-BE32-E72D297353CC}">
                  <c16:uniqueId val="{0000004C-CF34-4389-B765-0425B8F199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errBars>
            <c:errDir val="y"/>
            <c:errBarType val="plus"/>
            <c:errValType val="cust"/>
            <c:noEndCap val="1"/>
            <c:plus>
              <c:numRef>
                <c:f>Pin!$AL$24:$AL$64</c:f>
                <c:numCache>
                  <c:formatCode>General</c:formatCode>
                  <c:ptCount val="41"/>
                  <c:pt idx="0">
                    <c:v>0</c:v>
                  </c:pt>
                  <c:pt idx="1">
                    <c:v>0</c:v>
                  </c:pt>
                  <c:pt idx="2">
                    <c:v>0</c:v>
                  </c:pt>
                  <c:pt idx="3">
                    <c:v>9.5666666666666664E-2</c:v>
                  </c:pt>
                  <c:pt idx="4">
                    <c:v>0</c:v>
                  </c:pt>
                  <c:pt idx="5">
                    <c:v>0.13666666666666666</c:v>
                  </c:pt>
                  <c:pt idx="6">
                    <c:v>0</c:v>
                  </c:pt>
                  <c:pt idx="7">
                    <c:v>0</c:v>
                  </c:pt>
                  <c:pt idx="8">
                    <c:v>0</c:v>
                  </c:pt>
                  <c:pt idx="9">
                    <c:v>0</c:v>
                  </c:pt>
                  <c:pt idx="10">
                    <c:v>1.3666666666666666E-2</c:v>
                  </c:pt>
                  <c:pt idx="11">
                    <c:v>0</c:v>
                  </c:pt>
                  <c:pt idx="12">
                    <c:v>5.4666666666666662E-2</c:v>
                  </c:pt>
                  <c:pt idx="13">
                    <c:v>0</c:v>
                  </c:pt>
                  <c:pt idx="14">
                    <c:v>9.5666666666666664E-2</c:v>
                  </c:pt>
                  <c:pt idx="15">
                    <c:v>0</c:v>
                  </c:pt>
                  <c:pt idx="16">
                    <c:v>0.17766666666666667</c:v>
                  </c:pt>
                  <c:pt idx="17">
                    <c:v>0</c:v>
                  </c:pt>
                  <c:pt idx="18">
                    <c:v>0.21866666666666665</c:v>
                  </c:pt>
                  <c:pt idx="19">
                    <c:v>1.3666666666666666E-2</c:v>
                  </c:pt>
                  <c:pt idx="20">
                    <c:v>0.25966666666666666</c:v>
                  </c:pt>
                  <c:pt idx="21">
                    <c:v>5.4666666666666662E-2</c:v>
                  </c:pt>
                  <c:pt idx="22">
                    <c:v>0.30066666666666664</c:v>
                  </c:pt>
                  <c:pt idx="23">
                    <c:v>9.5666666666666664E-2</c:v>
                  </c:pt>
                  <c:pt idx="24">
                    <c:v>0.34166666666666667</c:v>
                  </c:pt>
                  <c:pt idx="25">
                    <c:v>0.13666666666666666</c:v>
                  </c:pt>
                  <c:pt idx="26">
                    <c:v>0</c:v>
                  </c:pt>
                  <c:pt idx="27">
                    <c:v>0.17766666666666667</c:v>
                  </c:pt>
                  <c:pt idx="28">
                    <c:v>0</c:v>
                  </c:pt>
                  <c:pt idx="29">
                    <c:v>0</c:v>
                  </c:pt>
                  <c:pt idx="30">
                    <c:v>6.1499999999999992E-2</c:v>
                  </c:pt>
                  <c:pt idx="31">
                    <c:v>0</c:v>
                  </c:pt>
                  <c:pt idx="32">
                    <c:v>0.10249999999999999</c:v>
                  </c:pt>
                  <c:pt idx="33">
                    <c:v>0</c:v>
                  </c:pt>
                  <c:pt idx="34">
                    <c:v>0</c:v>
                  </c:pt>
                  <c:pt idx="35">
                    <c:v>0</c:v>
                  </c:pt>
                  <c:pt idx="36">
                    <c:v>0</c:v>
                  </c:pt>
                  <c:pt idx="37">
                    <c:v>0</c:v>
                  </c:pt>
                  <c:pt idx="38">
                    <c:v>0</c:v>
                  </c:pt>
                  <c:pt idx="39">
                    <c:v>2.0500000000000001E-2</c:v>
                  </c:pt>
                  <c:pt idx="40">
                    <c:v>0</c:v>
                  </c:pt>
                </c:numCache>
              </c:numRef>
            </c:plus>
            <c:spPr>
              <a:ln w="19050">
                <a:solidFill>
                  <a:srgbClr val="C00000"/>
                </a:solidFill>
              </a:ln>
            </c:spPr>
          </c:errBars>
          <c:cat>
            <c:strRef>
              <c:f>Pin!$Y$24:$Y$64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Pin!$AC$24:$AC$64</c:f>
              <c:numCache>
                <c:formatCode>General</c:formatCode>
                <c:ptCount val="41"/>
                <c:pt idx="0">
                  <c:v>#N/A</c:v>
                </c:pt>
                <c:pt idx="1">
                  <c:v>#N/A</c:v>
                </c:pt>
                <c:pt idx="2">
                  <c:v>#N/A</c:v>
                </c:pt>
                <c:pt idx="3">
                  <c:v>1.3143333333333334</c:v>
                </c:pt>
                <c:pt idx="4">
                  <c:v>#N/A</c:v>
                </c:pt>
                <c:pt idx="5">
                  <c:v>1.2733333333333334</c:v>
                </c:pt>
                <c:pt idx="6">
                  <c:v>#N/A</c:v>
                </c:pt>
                <c:pt idx="7">
                  <c:v>#N/A</c:v>
                </c:pt>
                <c:pt idx="8">
                  <c:v>#N/A</c:v>
                </c:pt>
                <c:pt idx="9">
                  <c:v>#N/A</c:v>
                </c:pt>
                <c:pt idx="10">
                  <c:v>1.3963333333333332</c:v>
                </c:pt>
                <c:pt idx="11">
                  <c:v>#N/A</c:v>
                </c:pt>
                <c:pt idx="12">
                  <c:v>1.3553333333333333</c:v>
                </c:pt>
                <c:pt idx="13">
                  <c:v>#N/A</c:v>
                </c:pt>
                <c:pt idx="14">
                  <c:v>1.3143333333333334</c:v>
                </c:pt>
                <c:pt idx="15">
                  <c:v>#N/A</c:v>
                </c:pt>
                <c:pt idx="16">
                  <c:v>1.2323333333333333</c:v>
                </c:pt>
                <c:pt idx="17">
                  <c:v>#N/A</c:v>
                </c:pt>
                <c:pt idx="18">
                  <c:v>1.1913333333333334</c:v>
                </c:pt>
                <c:pt idx="19">
                  <c:v>1.3963333333333332</c:v>
                </c:pt>
                <c:pt idx="20">
                  <c:v>1.1503333333333332</c:v>
                </c:pt>
                <c:pt idx="21">
                  <c:v>1.3553333333333333</c:v>
                </c:pt>
                <c:pt idx="22">
                  <c:v>1.1093333333333333</c:v>
                </c:pt>
                <c:pt idx="23">
                  <c:v>1.3143333333333334</c:v>
                </c:pt>
                <c:pt idx="24">
                  <c:v>1.0683333333333334</c:v>
                </c:pt>
                <c:pt idx="25">
                  <c:v>1.2733333333333334</c:v>
                </c:pt>
                <c:pt idx="26">
                  <c:v>#N/A</c:v>
                </c:pt>
                <c:pt idx="27">
                  <c:v>1.2323333333333333</c:v>
                </c:pt>
                <c:pt idx="28">
                  <c:v>#N/A</c:v>
                </c:pt>
                <c:pt idx="29">
                  <c:v>#N/A</c:v>
                </c:pt>
                <c:pt idx="30">
                  <c:v>1.3485</c:v>
                </c:pt>
                <c:pt idx="31">
                  <c:v>#N/A</c:v>
                </c:pt>
                <c:pt idx="32">
                  <c:v>1.3075000000000001</c:v>
                </c:pt>
                <c:pt idx="33">
                  <c:v>#N/A</c:v>
                </c:pt>
                <c:pt idx="34">
                  <c:v>#N/A</c:v>
                </c:pt>
                <c:pt idx="35">
                  <c:v>#N/A</c:v>
                </c:pt>
                <c:pt idx="36">
                  <c:v>#N/A</c:v>
                </c:pt>
                <c:pt idx="37">
                  <c:v>#N/A</c:v>
                </c:pt>
                <c:pt idx="38">
                  <c:v>#N/A</c:v>
                </c:pt>
                <c:pt idx="39">
                  <c:v>1.3895</c:v>
                </c:pt>
                <c:pt idx="40">
                  <c:v>#N/A</c:v>
                </c:pt>
              </c:numCache>
            </c:numRef>
          </c:val>
          <c:smooth val="0"/>
          <c:extLst>
            <c:ext xmlns:c16="http://schemas.microsoft.com/office/drawing/2014/chart" uri="{C3380CC4-5D6E-409C-BE32-E72D297353CC}">
              <c16:uniqueId val="{0000003A-CF34-4389-B765-0425B8F1998E}"/>
            </c:ext>
          </c:extLst>
        </c:ser>
        <c:ser>
          <c:idx val="4"/>
          <c:order val="4"/>
          <c:tx>
            <c:v>Variance vs plan</c:v>
          </c:tx>
          <c:spPr>
            <a:ln w="38100">
              <a:noFill/>
            </a:ln>
          </c:spPr>
          <c:marker>
            <c:symbol val="square"/>
            <c:size val="4"/>
            <c:spPr>
              <a:solidFill>
                <a:srgbClr val="404040"/>
              </a:solidFill>
              <a:ln>
                <a:solidFill>
                  <a:srgbClr val="404040"/>
                </a:solidFill>
                <a:prstDash val="solid"/>
              </a:ln>
            </c:spPr>
          </c:marker>
          <c:dLbls>
            <c:dLbl>
              <c:idx val="11"/>
              <c:tx>
                <c:strRef>
                  <c:f>Pin!$AV$35</c:f>
                  <c:strCache>
                    <c:ptCount val="1"/>
                    <c:pt idx="0">
                      <c:v>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{BD9624D2-6029-4693-88C3-3459A2FEB89A}</c15:txfldGUID>
                      <c15:f>Pin!$AV$35</c15:f>
                      <c15:dlblFieldTableCache>
                        <c:ptCount val="1"/>
                        <c:pt idx="0">
                          <c:v>0</c:v>
                        </c:pt>
                      </c15:dlblFieldTableCache>
                    </c15:dlblFTEntry>
                  </c15:dlblFieldTable>
                  <c15:showDataLabelsRange val="0"/>
                </c:ext>
                <c:ext xmlns:c16="http://schemas.microsoft.com/office/drawing/2014/chart" uri="{C3380CC4-5D6E-409C-BE32-E72D297353CC}">
                  <c16:uniqueId val="{0000004E-CF34-4389-B765-0425B8F1998E}"/>
                </c:ext>
              </c:extLst>
            </c:dLbl>
            <c:dLbl>
              <c:idx val="16"/>
              <c:tx>
                <c:strRef>
                  <c:f>Pin!$AV$40</c:f>
                  <c:strCache>
                    <c:ptCount val="1"/>
                    <c:pt idx="0">
                      <c:v>+6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{6D3837AF-0CBD-4F4D-A58A-87D312D983BD}</c15:txfldGUID>
                      <c15:f>Pin!$AV$40</c15:f>
                      <c15:dlblFieldTableCache>
                        <c:ptCount val="1"/>
                        <c:pt idx="0">
                          <c:v>+6</c:v>
                        </c:pt>
                      </c15:dlblFieldTableCache>
                    </c15:dlblFTEntry>
                  </c15:dlblFieldTable>
                  <c15:showDataLabelsRange val="0"/>
                </c:ext>
                <c:ext xmlns:c16="http://schemas.microsoft.com/office/drawing/2014/chart" uri="{C3380CC4-5D6E-409C-BE32-E72D297353CC}">
                  <c16:uniqueId val="{0000004F-CF34-4389-B765-0425B8F1998E}"/>
                </c:ext>
              </c:extLst>
            </c:dLbl>
            <c:dLbl>
              <c:idx val="18"/>
              <c:tx>
                <c:strRef>
                  <c:f>Pin!$AV$42</c:f>
                  <c:strCache>
                    <c:ptCount val="1"/>
                    <c:pt idx="0">
                      <c:v>+3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{F8F1B680-8B2C-46B6-9383-B28D1D1197AA}</c15:txfldGUID>
                      <c15:f>Pin!$AV$42</c15:f>
                      <c15:dlblFieldTableCache>
                        <c:ptCount val="1"/>
                        <c:pt idx="0">
                          <c:v>+3</c:v>
                        </c:pt>
                      </c15:dlblFieldTableCache>
                    </c15:dlblFTEntry>
                  </c15:dlblFieldTable>
                  <c15:showDataLabelsRange val="0"/>
                </c:ext>
                <c:ext xmlns:c16="http://schemas.microsoft.com/office/drawing/2014/chart" uri="{C3380CC4-5D6E-409C-BE32-E72D297353CC}">
                  <c16:uniqueId val="{00000050-CF34-4389-B765-0425B8F1998E}"/>
                </c:ext>
              </c:extLst>
            </c:dLbl>
            <c:dLbl>
              <c:idx val="19"/>
              <c:tx>
                <c:strRef>
                  <c:f>Pin!$AV$43</c:f>
                  <c:strCache>
                    <c:ptCount val="1"/>
                    <c:pt idx="0">
                      <c:v>+18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{15080E85-5C35-478C-9C38-FBBD42FA3051}</c15:txfldGUID>
                      <c15:f>Pin!$AV$43</c15:f>
                      <c15:dlblFieldTableCache>
                        <c:ptCount val="1"/>
                        <c:pt idx="0">
                          <c:v>+18</c:v>
                        </c:pt>
                      </c15:dlblFieldTableCache>
                    </c15:dlblFTEntry>
                  </c15:dlblFieldTable>
                  <c15:showDataLabelsRange val="0"/>
                </c:ext>
                <c:ext xmlns:c16="http://schemas.microsoft.com/office/drawing/2014/chart" uri="{C3380CC4-5D6E-409C-BE32-E72D297353CC}">
                  <c16:uniqueId val="{00000051-CF34-4389-B765-0425B8F1998E}"/>
                </c:ext>
              </c:extLst>
            </c:dLbl>
            <c:dLbl>
              <c:idx val="21"/>
              <c:tx>
                <c:strRef>
                  <c:f>Pin!$AV$45</c:f>
                  <c:strCache>
                    <c:ptCount val="1"/>
                    <c:pt idx="0">
                      <c:v>+15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{5B1FA33D-D914-401D-A6C5-ABFAF2A96015}</c15:txfldGUID>
                      <c15:f>Pin!$AV$45</c15:f>
                      <c15:dlblFieldTableCache>
                        <c:ptCount val="1"/>
                        <c:pt idx="0">
                          <c:v>+15</c:v>
                        </c:pt>
                      </c15:dlblFieldTableCache>
                    </c15:dlblFTEntry>
                  </c15:dlblFieldTable>
                  <c15:showDataLabelsRange val="0"/>
                </c:ext>
                <c:ext xmlns:c16="http://schemas.microsoft.com/office/drawing/2014/chart" uri="{C3380CC4-5D6E-409C-BE32-E72D297353CC}">
                  <c16:uniqueId val="{00000052-CF34-4389-B765-0425B8F1998E}"/>
                </c:ext>
              </c:extLst>
            </c:dLbl>
            <c:dLbl>
              <c:idx val="23"/>
              <c:tx>
                <c:strRef>
                  <c:f>Pin!$AV$47</c:f>
                  <c:strCache>
                    <c:ptCount val="1"/>
                    <c:pt idx="0">
                      <c:v>+12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{DFDAE6E9-E7F1-4286-82B8-D2006FE33D18}</c15:txfldGUID>
                      <c15:f>Pin!$AV$47</c15:f>
                      <c15:dlblFieldTableCache>
                        <c:ptCount val="1"/>
                        <c:pt idx="0">
                          <c:v>+12</c:v>
                        </c:pt>
                      </c15:dlblFieldTableCache>
                    </c15:dlblFTEntry>
                  </c15:dlblFieldTable>
                  <c15:showDataLabelsRange val="0"/>
                </c:ext>
                <c:ext xmlns:c16="http://schemas.microsoft.com/office/drawing/2014/chart" uri="{C3380CC4-5D6E-409C-BE32-E72D297353CC}">
                  <c16:uniqueId val="{00000053-CF34-4389-B765-0425B8F1998E}"/>
                </c:ext>
              </c:extLst>
            </c:dLbl>
            <c:dLbl>
              <c:idx val="25"/>
              <c:tx>
                <c:strRef>
                  <c:f>Pin!$AV$49</c:f>
                  <c:strCache>
                    <c:ptCount val="1"/>
                    <c:pt idx="0">
                      <c:v>+9</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{F402BC17-1226-4795-A223-02E50252C586}</c15:txfldGUID>
                      <c15:f>Pin!$AV$49</c15:f>
                      <c15:dlblFieldTableCache>
                        <c:ptCount val="1"/>
                        <c:pt idx="0">
                          <c:v>+9</c:v>
                        </c:pt>
                      </c15:dlblFieldTableCache>
                    </c15:dlblFTEntry>
                  </c15:dlblFieldTable>
                  <c15:showDataLabelsRange val="0"/>
                </c:ext>
                <c:ext xmlns:c16="http://schemas.microsoft.com/office/drawing/2014/chart" uri="{C3380CC4-5D6E-409C-BE32-E72D297353CC}">
                  <c16:uniqueId val="{00000054-CF34-4389-B765-0425B8F1998E}"/>
                </c:ext>
              </c:extLst>
            </c:dLbl>
            <c:dLbl>
              <c:idx val="27"/>
              <c:tx>
                <c:strRef>
                  <c:f>Pin!$AV$51</c:f>
                  <c:strCache>
                    <c:ptCount val="1"/>
                    <c:pt idx="0">
                      <c:v>+6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{8BD1333A-D51E-4E43-B862-7C18A8A7B6BB}</c15:txfldGUID>
                      <c15:f>Pin!$AV$51</c15:f>
                      <c15:dlblFieldTableCache>
                        <c:ptCount val="1"/>
                        <c:pt idx="0">
                          <c:v>+6</c:v>
                        </c:pt>
                      </c15:dlblFieldTableCache>
                    </c15:dlblFTEntry>
                  </c15:dlblFieldTable>
                  <c15:showDataLabelsRange val="0"/>
                </c:ext>
                <c:ext xmlns:c16="http://schemas.microsoft.com/office/drawing/2014/chart" uri="{C3380CC4-5D6E-409C-BE32-E72D297353CC}">
                  <c16:uniqueId val="{00000055-CF34-4389-B765-0425B8F1998E}"/>
                </c:ext>
              </c:extLst>
            </c:dLbl>
            <c:dLbl>
              <c:idx val="38"/>
              <c:tx>
                <c:strRef>
                  <c:f>Pin!$AV$62</c:f>
                  <c:strCache>
                    <c:ptCount val="1"/>
                    <c:pt idx="0">
                      <c:v>+3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{236E5730-8C65-4AD3-B7AE-759FB2F727D0}</c15:txfldGUID>
                      <c15:f>Pin!$AV$62</c15:f>
                      <c15:dlblFieldTableCache>
                        <c:ptCount val="1"/>
                        <c:pt idx="0">
                          <c:v>+3</c:v>
                        </c:pt>
                      </c15:dlblFieldTableCache>
                    </c15:dlblFTEntry>
                  </c15:dlblFieldTable>
                  <c15:showDataLabelsRange val="0"/>
                </c:ext>
                <c:ext xmlns:c16="http://schemas.microsoft.com/office/drawing/2014/chart" uri="{C3380CC4-5D6E-409C-BE32-E72D297353CC}">
                  <c16:uniqueId val="{00000056-CF34-4389-B765-0425B8F199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errBars>
            <c:errDir val="y"/>
            <c:errBarType val="minus"/>
            <c:errValType val="cust"/>
            <c:noEndCap val="1"/>
            <c:minus>
              <c:numRef>
                <c:f>Pin!$AM$24:$AM$64</c:f>
                <c:numCache>
                  <c:formatCode>General</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7.5166666666666659E-2</c:v>
                  </c:pt>
                  <c:pt idx="17">
                    <c:v>0</c:v>
                  </c:pt>
                  <c:pt idx="18">
                    <c:v>3.4166666666666665E-2</c:v>
                  </c:pt>
                  <c:pt idx="19">
                    <c:v>0.23916666666666667</c:v>
                  </c:pt>
                  <c:pt idx="20">
                    <c:v>0</c:v>
                  </c:pt>
                  <c:pt idx="21">
                    <c:v>0.19816666666666666</c:v>
                  </c:pt>
                  <c:pt idx="22">
                    <c:v>0</c:v>
                  </c:pt>
                  <c:pt idx="23">
                    <c:v>0.15716666666666668</c:v>
                  </c:pt>
                  <c:pt idx="24">
                    <c:v>0</c:v>
                  </c:pt>
                  <c:pt idx="25">
                    <c:v>0.11616666666666665</c:v>
                  </c:pt>
                  <c:pt idx="26">
                    <c:v>0</c:v>
                  </c:pt>
                  <c:pt idx="27">
                    <c:v>7.5166666666666659E-2</c:v>
                  </c:pt>
                  <c:pt idx="28">
                    <c:v>0</c:v>
                  </c:pt>
                  <c:pt idx="29">
                    <c:v>0</c:v>
                  </c:pt>
                  <c:pt idx="30">
                    <c:v>0</c:v>
                  </c:pt>
                  <c:pt idx="31">
                    <c:v>0</c:v>
                  </c:pt>
                  <c:pt idx="32">
                    <c:v>0</c:v>
                  </c:pt>
                  <c:pt idx="33">
                    <c:v>0</c:v>
                  </c:pt>
                  <c:pt idx="34">
                    <c:v>0</c:v>
                  </c:pt>
                  <c:pt idx="35">
                    <c:v>0</c:v>
                  </c:pt>
                  <c:pt idx="36">
                    <c:v>0</c:v>
                  </c:pt>
                  <c:pt idx="37">
                    <c:v>0</c:v>
                  </c:pt>
                  <c:pt idx="38">
                    <c:v>3.4166666666666665E-2</c:v>
                  </c:pt>
                  <c:pt idx="39">
                    <c:v>0</c:v>
                  </c:pt>
                  <c:pt idx="40">
                    <c:v>0</c:v>
                  </c:pt>
                </c:numCache>
              </c:numRef>
            </c:minus>
            <c:spPr>
              <a:ln w="19050">
                <a:solidFill>
                  <a:srgbClr val="8CB400"/>
                </a:solidFill>
              </a:ln>
            </c:spPr>
          </c:errBars>
          <c:cat>
            <c:strRef>
              <c:f>Pin!$Y$24:$Y$64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Pin!$AD$24:$AD$64</c:f>
              <c:numCache>
                <c:formatCode>General</c:formatCode>
                <c:ptCount val="41"/>
                <c:pt idx="0">
                  <c:v>#N/A</c:v>
                </c:pt>
                <c:pt idx="1">
                  <c:v>#N/A</c:v>
                </c:pt>
                <c:pt idx="2">
                  <c:v>#N/A</c:v>
                </c:pt>
                <c:pt idx="3">
                  <c:v>#N/A</c:v>
                </c:pt>
                <c:pt idx="4">
                  <c:v>#N/A</c:v>
                </c:pt>
                <c:pt idx="5">
                  <c:v>#N/A</c:v>
                </c:pt>
                <c:pt idx="6">
                  <c:v>#N/A</c:v>
                </c:pt>
                <c:pt idx="7">
                  <c:v>#N/A</c:v>
                </c:pt>
                <c:pt idx="8">
                  <c:v>#N/A</c:v>
                </c:pt>
                <c:pt idx="9">
                  <c:v>#N/A</c:v>
                </c:pt>
                <c:pt idx="10">
                  <c:v>#N/A</c:v>
                </c:pt>
                <c:pt idx="11">
                  <c:v>2.41</c:v>
                </c:pt>
                <c:pt idx="12">
                  <c:v>#N/A</c:v>
                </c:pt>
                <c:pt idx="13">
                  <c:v>#N/A</c:v>
                </c:pt>
                <c:pt idx="14">
                  <c:v>#N/A</c:v>
                </c:pt>
                <c:pt idx="15">
                  <c:v>#N/A</c:v>
                </c:pt>
                <c:pt idx="16">
                  <c:v>2.4851666666666667</c:v>
                </c:pt>
                <c:pt idx="17">
                  <c:v>#N/A</c:v>
                </c:pt>
                <c:pt idx="18">
                  <c:v>2.4441666666666668</c:v>
                </c:pt>
                <c:pt idx="19">
                  <c:v>2.6491666666666664</c:v>
                </c:pt>
                <c:pt idx="20">
                  <c:v>#N/A</c:v>
                </c:pt>
                <c:pt idx="21">
                  <c:v>2.6081666666666665</c:v>
                </c:pt>
                <c:pt idx="22">
                  <c:v>#N/A</c:v>
                </c:pt>
                <c:pt idx="23">
                  <c:v>2.5671666666666666</c:v>
                </c:pt>
                <c:pt idx="24">
                  <c:v>#N/A</c:v>
                </c:pt>
                <c:pt idx="25">
                  <c:v>2.5261666666666667</c:v>
                </c:pt>
                <c:pt idx="26">
                  <c:v>#N/A</c:v>
                </c:pt>
                <c:pt idx="27">
                  <c:v>2.4851666666666667</c:v>
                </c:pt>
                <c:pt idx="28">
                  <c:v>#N/A</c:v>
                </c:pt>
                <c:pt idx="29">
                  <c:v>#N/A</c:v>
                </c:pt>
                <c:pt idx="30">
                  <c:v>#N/A</c:v>
                </c:pt>
                <c:pt idx="31">
                  <c:v>#N/A</c:v>
                </c:pt>
                <c:pt idx="32">
                  <c:v>#N/A</c:v>
                </c:pt>
                <c:pt idx="33">
                  <c:v>#N/A</c:v>
                </c:pt>
                <c:pt idx="34">
                  <c:v>#N/A</c:v>
                </c:pt>
                <c:pt idx="35">
                  <c:v>#N/A</c:v>
                </c:pt>
                <c:pt idx="36">
                  <c:v>#N/A</c:v>
                </c:pt>
                <c:pt idx="37">
                  <c:v>#N/A</c:v>
                </c:pt>
                <c:pt idx="38">
                  <c:v>2.4441666666666668</c:v>
                </c:pt>
                <c:pt idx="39">
                  <c:v>#N/A</c:v>
                </c:pt>
                <c:pt idx="40">
                  <c:v>#N/A</c:v>
                </c:pt>
              </c:numCache>
            </c:numRef>
          </c:val>
          <c:smooth val="0"/>
          <c:extLst>
            <c:ext xmlns:c16="http://schemas.microsoft.com/office/drawing/2014/chart" uri="{C3380CC4-5D6E-409C-BE32-E72D297353CC}">
              <c16:uniqueId val="{0000004D-CF34-4389-B765-0425B8F1998E}"/>
            </c:ext>
          </c:extLst>
        </c:ser>
        <c:ser>
          <c:idx val="5"/>
          <c:order val="5"/>
          <c:tx>
            <c:v> </c:v>
          </c:tx>
          <c:spPr>
            <a:ln w="38100">
              <a:noFill/>
            </a:ln>
          </c:spPr>
          <c:marker>
            <c:symbol val="square"/>
            <c:size val="4"/>
            <c:spPr>
              <a:solidFill>
                <a:srgbClr val="404040"/>
              </a:solidFill>
              <a:ln>
                <a:solidFill>
                  <a:srgbClr val="404040"/>
                </a:solidFill>
                <a:prstDash val="solid"/>
              </a:ln>
            </c:spPr>
          </c:marker>
          <c:dLbls>
            <c:dLbl>
              <c:idx val="3"/>
              <c:tx>
                <c:strRef>
                  <c:f>Pin!$AW$27</c:f>
                  <c:strCache>
                    <c:ptCount val="1"/>
                    <c:pt idx="0">
                      <c:v>-21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{C8C5EE96-389D-4FE1-9581-FC69838F8CC0}</c15:txfldGUID>
                      <c15:f>Pin!$AW$27</c15:f>
                      <c15:dlblFieldTableCache>
                        <c:ptCount val="1"/>
                        <c:pt idx="0">
                          <c:v>-21</c:v>
                        </c:pt>
                      </c15:dlblFieldTableCache>
                    </c15:dlblFTEntry>
                  </c15:dlblFieldTable>
                  <c15:showDataLabelsRange val="0"/>
                </c:ext>
                <c:ext xmlns:c16="http://schemas.microsoft.com/office/drawing/2014/chart" uri="{C3380CC4-5D6E-409C-BE32-E72D297353CC}">
                  <c16:uniqueId val="{00000058-CF34-4389-B765-0425B8F1998E}"/>
                </c:ext>
              </c:extLst>
            </c:dLbl>
            <c:dLbl>
              <c:idx val="4"/>
              <c:tx>
                <c:strRef>
                  <c:f>Pin!$AW$28</c:f>
                  <c:strCache>
                    <c:ptCount val="1"/>
                    <c:pt idx="0">
                      <c:v>-6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{918092F0-7DBC-465A-8A3C-A4409760ADF6}</c15:txfldGUID>
                      <c15:f>Pin!$AW$28</c15:f>
                      <c15:dlblFieldTableCache>
                        <c:ptCount val="1"/>
                        <c:pt idx="0">
                          <c:v>-6</c:v>
                        </c:pt>
                      </c15:dlblFieldTableCache>
                    </c15:dlblFTEntry>
                  </c15:dlblFieldTable>
                  <c15:showDataLabelsRange val="0"/>
                </c:ext>
                <c:ext xmlns:c16="http://schemas.microsoft.com/office/drawing/2014/chart" uri="{C3380CC4-5D6E-409C-BE32-E72D297353CC}">
                  <c16:uniqueId val="{00000059-CF34-4389-B765-0425B8F1998E}"/>
                </c:ext>
              </c:extLst>
            </c:dLbl>
            <c:dLbl>
              <c:idx val="5"/>
              <c:tx>
                <c:strRef>
                  <c:f>Pin!$AW$29</c:f>
                  <c:strCache>
                    <c:ptCount val="1"/>
                    <c:pt idx="0">
                      <c:v>-24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{DD8CA568-14A2-4E6B-92DC-BA39A62D2EE8}</c15:txfldGUID>
                      <c15:f>Pin!$AW$29</c15:f>
                      <c15:dlblFieldTableCache>
                        <c:ptCount val="1"/>
                        <c:pt idx="0">
                          <c:v>-24</c:v>
                        </c:pt>
                      </c15:dlblFieldTableCache>
                    </c15:dlblFTEntry>
                  </c15:dlblFieldTable>
                  <c15:showDataLabelsRange val="0"/>
                </c:ext>
                <c:ext xmlns:c16="http://schemas.microsoft.com/office/drawing/2014/chart" uri="{C3380CC4-5D6E-409C-BE32-E72D297353CC}">
                  <c16:uniqueId val="{0000005A-CF34-4389-B765-0425B8F1998E}"/>
                </c:ext>
              </c:extLst>
            </c:dLbl>
            <c:dLbl>
              <c:idx val="6"/>
              <c:tx>
                <c:strRef>
                  <c:f>Pin!$AW$30</c:f>
                  <c:strCache>
                    <c:ptCount val="1"/>
                    <c:pt idx="0">
                      <c:v>-9</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{6FE3F73B-2E2F-4B4E-BED0-DD975598C90C}</c15:txfldGUID>
                      <c15:f>Pin!$AW$30</c15:f>
                      <c15:dlblFieldTableCache>
                        <c:ptCount val="1"/>
                        <c:pt idx="0">
                          <c:v>-9</c:v>
                        </c:pt>
                      </c15:dlblFieldTableCache>
                    </c15:dlblFTEntry>
                  </c15:dlblFieldTable>
                  <c15:showDataLabelsRange val="0"/>
                </c:ext>
                <c:ext xmlns:c16="http://schemas.microsoft.com/office/drawing/2014/chart" uri="{C3380CC4-5D6E-409C-BE32-E72D297353CC}">
                  <c16:uniqueId val="{0000005B-CF34-4389-B765-0425B8F1998E}"/>
                </c:ext>
              </c:extLst>
            </c:dLbl>
            <c:dLbl>
              <c:idx val="7"/>
              <c:tx>
                <c:strRef>
                  <c:f>Pin!$AW$31</c:f>
                  <c:strCache>
                    <c:ptCount val="1"/>
                    <c:pt idx="0">
                      <c:v>-27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{8A748575-5AF2-4C83-A9E8-079E1287FF77}</c15:txfldGUID>
                      <c15:f>Pin!$AW$31</c15:f>
                      <c15:dlblFieldTableCache>
                        <c:ptCount val="1"/>
                        <c:pt idx="0">
                          <c:v>-27</c:v>
                        </c:pt>
                      </c15:dlblFieldTableCache>
                    </c15:dlblFTEntry>
                  </c15:dlblFieldTable>
                  <c15:showDataLabelsRange val="0"/>
                </c:ext>
                <c:ext xmlns:c16="http://schemas.microsoft.com/office/drawing/2014/chart" uri="{C3380CC4-5D6E-409C-BE32-E72D297353CC}">
                  <c16:uniqueId val="{0000005C-CF34-4389-B765-0425B8F1998E}"/>
                </c:ext>
              </c:extLst>
            </c:dLbl>
            <c:dLbl>
              <c:idx val="8"/>
              <c:tx>
                <c:strRef>
                  <c:f>Pin!$AW$32</c:f>
                  <c:strCache>
                    <c:ptCount val="1"/>
                    <c:pt idx="0">
                      <c:v>-12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{6B114D87-A42B-497D-9E08-E3C68F329D99}</c15:txfldGUID>
                      <c15:f>Pin!$AW$32</c15:f>
                      <c15:dlblFieldTableCache>
                        <c:ptCount val="1"/>
                        <c:pt idx="0">
                          <c:v>-12</c:v>
                        </c:pt>
                      </c15:dlblFieldTableCache>
                    </c15:dlblFTEntry>
                  </c15:dlblFieldTable>
                  <c15:showDataLabelsRange val="0"/>
                </c:ext>
                <c:ext xmlns:c16="http://schemas.microsoft.com/office/drawing/2014/chart" uri="{C3380CC4-5D6E-409C-BE32-E72D297353CC}">
                  <c16:uniqueId val="{0000005D-CF34-4389-B765-0425B8F1998E}"/>
                </c:ext>
              </c:extLst>
            </c:dLbl>
            <c:dLbl>
              <c:idx val="9"/>
              <c:tx>
                <c:strRef>
                  <c:f>Pin!$AW$33</c:f>
                  <c:strCache>
                    <c:ptCount val="1"/>
                    <c:pt idx="0">
                      <c:v>-30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{11EF5967-CE3B-448A-B320-DB48DFA07E04}</c15:txfldGUID>
                      <c15:f>Pin!$AW$33</c15:f>
                      <c15:dlblFieldTableCache>
                        <c:ptCount val="1"/>
                        <c:pt idx="0">
                          <c:v>-30</c:v>
                        </c:pt>
                      </c15:dlblFieldTableCache>
                    </c15:dlblFTEntry>
                  </c15:dlblFieldTable>
                  <c15:showDataLabelsRange val="0"/>
                </c:ext>
                <c:ext xmlns:c16="http://schemas.microsoft.com/office/drawing/2014/chart" uri="{C3380CC4-5D6E-409C-BE32-E72D297353CC}">
                  <c16:uniqueId val="{0000005E-CF34-4389-B765-0425B8F1998E}"/>
                </c:ext>
              </c:extLst>
            </c:dLbl>
            <c:dLbl>
              <c:idx val="10"/>
              <c:tx>
                <c:strRef>
                  <c:f>Pin!$AW$34</c:f>
                  <c:strCache>
                    <c:ptCount val="1"/>
                    <c:pt idx="0">
                      <c:v>-15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{413A270C-C930-4812-BAA8-1D5FD9916542}</c15:txfldGUID>
                      <c15:f>Pin!$AW$34</c15:f>
                      <c15:dlblFieldTableCache>
                        <c:ptCount val="1"/>
                        <c:pt idx="0">
                          <c:v>-15</c:v>
                        </c:pt>
                      </c15:dlblFieldTableCache>
                    </c15:dlblFTEntry>
                  </c15:dlblFieldTable>
                  <c15:showDataLabelsRange val="0"/>
                </c:ext>
                <c:ext xmlns:c16="http://schemas.microsoft.com/office/drawing/2014/chart" uri="{C3380CC4-5D6E-409C-BE32-E72D297353CC}">
                  <c16:uniqueId val="{0000005F-CF34-4389-B765-0425B8F1998E}"/>
                </c:ext>
              </c:extLst>
            </c:dLbl>
            <c:dLbl>
              <c:idx val="12"/>
              <c:tx>
                <c:strRef>
                  <c:f>Pin!$AW$36</c:f>
                  <c:strCache>
                    <c:ptCount val="1"/>
                    <c:pt idx="0">
                      <c:v>-18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{3F8B1924-F421-4B7A-BD87-6859EB6B3EA6}</c15:txfldGUID>
                      <c15:f>Pin!$AW$36</c15:f>
                      <c15:dlblFieldTableCache>
                        <c:ptCount val="1"/>
                        <c:pt idx="0">
                          <c:v>-18</c:v>
                        </c:pt>
                      </c15:dlblFieldTableCache>
                    </c15:dlblFTEntry>
                  </c15:dlblFieldTable>
                  <c15:showDataLabelsRange val="0"/>
                </c:ext>
                <c:ext xmlns:c16="http://schemas.microsoft.com/office/drawing/2014/chart" uri="{C3380CC4-5D6E-409C-BE32-E72D297353CC}">
                  <c16:uniqueId val="{00000060-CF34-4389-B765-0425B8F1998E}"/>
                </c:ext>
              </c:extLst>
            </c:dLbl>
            <c:dLbl>
              <c:idx val="13"/>
              <c:tx>
                <c:strRef>
                  <c:f>Pin!$AW$37</c:f>
                  <c:strCache>
                    <c:ptCount val="1"/>
                    <c:pt idx="0">
                      <c:v>-3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{8C2D2E70-747A-4124-A8B6-9F0E3DC08EB5}</c15:txfldGUID>
                      <c15:f>Pin!$AW$37</c15:f>
                      <c15:dlblFieldTableCache>
                        <c:ptCount val="1"/>
                        <c:pt idx="0">
                          <c:v>-3</c:v>
                        </c:pt>
                      </c15:dlblFieldTableCache>
                    </c15:dlblFTEntry>
                  </c15:dlblFieldTable>
                  <c15:showDataLabelsRange val="0"/>
                </c:ext>
                <c:ext xmlns:c16="http://schemas.microsoft.com/office/drawing/2014/chart" uri="{C3380CC4-5D6E-409C-BE32-E72D297353CC}">
                  <c16:uniqueId val="{00000061-CF34-4389-B765-0425B8F1998E}"/>
                </c:ext>
              </c:extLst>
            </c:dLbl>
            <c:dLbl>
              <c:idx val="14"/>
              <c:tx>
                <c:strRef>
                  <c:f>Pin!$AW$38</c:f>
                  <c:strCache>
                    <c:ptCount val="1"/>
                    <c:pt idx="0">
                      <c:v>-21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{EF71197F-933B-41D2-9E68-1A9E453FE886}</c15:txfldGUID>
                      <c15:f>Pin!$AW$38</c15:f>
                      <c15:dlblFieldTableCache>
                        <c:ptCount val="1"/>
                        <c:pt idx="0">
                          <c:v>-21</c:v>
                        </c:pt>
                      </c15:dlblFieldTableCache>
                    </c15:dlblFTEntry>
                  </c15:dlblFieldTable>
                  <c15:showDataLabelsRange val="0"/>
                </c:ext>
                <c:ext xmlns:c16="http://schemas.microsoft.com/office/drawing/2014/chart" uri="{C3380CC4-5D6E-409C-BE32-E72D297353CC}">
                  <c16:uniqueId val="{00000062-CF34-4389-B765-0425B8F1998E}"/>
                </c:ext>
              </c:extLst>
            </c:dLbl>
            <c:dLbl>
              <c:idx val="17"/>
              <c:tx>
                <c:strRef>
                  <c:f>Pin!$AW$41</c:f>
                  <c:strCache>
                    <c:ptCount val="1"/>
                    <c:pt idx="0">
                      <c:v>-13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{43F91021-5D2E-4608-8583-E39B41D00E82}</c15:txfldGUID>
                      <c15:f>Pin!$AW$41</c15:f>
                      <c15:dlblFieldTableCache>
                        <c:ptCount val="1"/>
                        <c:pt idx="0">
                          <c:v>-13</c:v>
                        </c:pt>
                      </c15:dlblFieldTableCache>
                    </c15:dlblFTEntry>
                  </c15:dlblFieldTable>
                  <c15:showDataLabelsRange val="0"/>
                </c:ext>
                <c:ext xmlns:c16="http://schemas.microsoft.com/office/drawing/2014/chart" uri="{C3380CC4-5D6E-409C-BE32-E72D297353CC}">
                  <c16:uniqueId val="{00000063-CF34-4389-B765-0425B8F1998E}"/>
                </c:ext>
              </c:extLst>
            </c:dLbl>
            <c:dLbl>
              <c:idx val="20"/>
              <c:tx>
                <c:strRef>
                  <c:f>Pin!$AW$44</c:f>
                  <c:strCache>
                    <c:ptCount val="1"/>
                    <c:pt idx="0">
                      <c:v>-1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{61D767B3-7BAF-4508-BA82-84218F9CE57F}</c15:txfldGUID>
                      <c15:f>Pin!$AW$44</c15:f>
                      <c15:dlblFieldTableCache>
                        <c:ptCount val="1"/>
                        <c:pt idx="0">
                          <c:v>-1</c:v>
                        </c:pt>
                      </c15:dlblFieldTableCache>
                    </c15:dlblFTEntry>
                  </c15:dlblFieldTable>
                  <c15:showDataLabelsRange val="0"/>
                </c:ext>
                <c:ext xmlns:c16="http://schemas.microsoft.com/office/drawing/2014/chart" uri="{C3380CC4-5D6E-409C-BE32-E72D297353CC}">
                  <c16:uniqueId val="{00000064-CF34-4389-B765-0425B8F1998E}"/>
                </c:ext>
              </c:extLst>
            </c:dLbl>
            <c:dLbl>
              <c:idx val="22"/>
              <c:tx>
                <c:strRef>
                  <c:f>Pin!$AW$46</c:f>
                  <c:strCache>
                    <c:ptCount val="1"/>
                    <c:pt idx="0">
                      <c:v>-4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{0FB35798-3491-4526-865A-AE770EE141A6}</c15:txfldGUID>
                      <c15:f>Pin!$AW$46</c15:f>
                      <c15:dlblFieldTableCache>
                        <c:ptCount val="1"/>
                        <c:pt idx="0">
                          <c:v>-4</c:v>
                        </c:pt>
                      </c15:dlblFieldTableCache>
                    </c15:dlblFTEntry>
                  </c15:dlblFieldTable>
                  <c15:showDataLabelsRange val="0"/>
                </c:ext>
                <c:ext xmlns:c16="http://schemas.microsoft.com/office/drawing/2014/chart" uri="{C3380CC4-5D6E-409C-BE32-E72D297353CC}">
                  <c16:uniqueId val="{00000065-CF34-4389-B765-0425B8F1998E}"/>
                </c:ext>
              </c:extLst>
            </c:dLbl>
            <c:dLbl>
              <c:idx val="24"/>
              <c:tx>
                <c:strRef>
                  <c:f>Pin!$AW$48</c:f>
                  <c:strCache>
                    <c:ptCount val="1"/>
                    <c:pt idx="0">
                      <c:v>-7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{EDF23F13-1D84-4919-8CE7-BD836A1819CA}</c15:txfldGUID>
                      <c15:f>Pin!$AW$48</c15:f>
                      <c15:dlblFieldTableCache>
                        <c:ptCount val="1"/>
                        <c:pt idx="0">
                          <c:v>-7</c:v>
                        </c:pt>
                      </c15:dlblFieldTableCache>
                    </c15:dlblFTEntry>
                  </c15:dlblFieldTable>
                  <c15:showDataLabelsRange val="0"/>
                </c:ext>
                <c:ext xmlns:c16="http://schemas.microsoft.com/office/drawing/2014/chart" uri="{C3380CC4-5D6E-409C-BE32-E72D297353CC}">
                  <c16:uniqueId val="{00000066-CF34-4389-B765-0425B8F1998E}"/>
                </c:ext>
              </c:extLst>
            </c:dLbl>
            <c:dLbl>
              <c:idx val="26"/>
              <c:tx>
                <c:strRef>
                  <c:f>Pin!$AW$50</c:f>
                  <c:strCache>
                    <c:ptCount val="1"/>
                    <c:pt idx="0">
                      <c:v>-10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{C6B6D20F-010A-430F-B48D-D36391E8F4E5}</c15:txfldGUID>
                      <c15:f>Pin!$AW$50</c15:f>
                      <c15:dlblFieldTableCache>
                        <c:ptCount val="1"/>
                        <c:pt idx="0">
                          <c:v>-10</c:v>
                        </c:pt>
                      </c15:dlblFieldTableCache>
                    </c15:dlblFTEntry>
                  </c15:dlblFieldTable>
                  <c15:showDataLabelsRange val="0"/>
                </c:ext>
                <c:ext xmlns:c16="http://schemas.microsoft.com/office/drawing/2014/chart" uri="{C3380CC4-5D6E-409C-BE32-E72D297353CC}">
                  <c16:uniqueId val="{00000067-CF34-4389-B765-0425B8F1998E}"/>
                </c:ext>
              </c:extLst>
            </c:dLbl>
            <c:dLbl>
              <c:idx val="29"/>
              <c:tx>
                <c:strRef>
                  <c:f>Pin!$AW$53</c:f>
                  <c:strCache>
                    <c:ptCount val="1"/>
                    <c:pt idx="0">
                      <c:v>-1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{2B4AB580-5873-468F-8A07-48F5342233A9}</c15:txfldGUID>
                      <c15:f>Pin!$AW$53</c15:f>
                      <c15:dlblFieldTableCache>
                        <c:ptCount val="1"/>
                        <c:pt idx="0">
                          <c:v>-1</c:v>
                        </c:pt>
                      </c15:dlblFieldTableCache>
                    </c15:dlblFTEntry>
                  </c15:dlblFieldTable>
                  <c15:showDataLabelsRange val="0"/>
                </c:ext>
                <c:ext xmlns:c16="http://schemas.microsoft.com/office/drawing/2014/chart" uri="{C3380CC4-5D6E-409C-BE32-E72D297353CC}">
                  <c16:uniqueId val="{00000068-CF34-4389-B765-0425B8F1998E}"/>
                </c:ext>
              </c:extLst>
            </c:dLbl>
            <c:dLbl>
              <c:idx val="30"/>
              <c:tx>
                <c:strRef>
                  <c:f>Pin!$AW$54</c:f>
                  <c:strCache>
                    <c:ptCount val="1"/>
                    <c:pt idx="0">
                      <c:v>-19</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{0BE8D272-172E-41C9-965E-240FB20D89D2}</c15:txfldGUID>
                      <c15:f>Pin!$AW$54</c15:f>
                      <c15:dlblFieldTableCache>
                        <c:ptCount val="1"/>
                        <c:pt idx="0">
                          <c:v>-19</c:v>
                        </c:pt>
                      </c15:dlblFieldTableCache>
                    </c15:dlblFTEntry>
                  </c15:dlblFieldTable>
                  <c15:showDataLabelsRange val="0"/>
                </c:ext>
                <c:ext xmlns:c16="http://schemas.microsoft.com/office/drawing/2014/chart" uri="{C3380CC4-5D6E-409C-BE32-E72D297353CC}">
                  <c16:uniqueId val="{00000069-CF34-4389-B765-0425B8F1998E}"/>
                </c:ext>
              </c:extLst>
            </c:dLbl>
            <c:dLbl>
              <c:idx val="31"/>
              <c:tx>
                <c:strRef>
                  <c:f>Pin!$AW$55</c:f>
                  <c:strCache>
                    <c:ptCount val="1"/>
                    <c:pt idx="0">
                      <c:v>-4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{1C7A82D7-B089-402F-A020-65525E01DD5D}</c15:txfldGUID>
                      <c15:f>Pin!$AW$55</c15:f>
                      <c15:dlblFieldTableCache>
                        <c:ptCount val="1"/>
                        <c:pt idx="0">
                          <c:v>-4</c:v>
                        </c:pt>
                      </c15:dlblFieldTableCache>
                    </c15:dlblFTEntry>
                  </c15:dlblFieldTable>
                  <c15:showDataLabelsRange val="0"/>
                </c:ext>
                <c:ext xmlns:c16="http://schemas.microsoft.com/office/drawing/2014/chart" uri="{C3380CC4-5D6E-409C-BE32-E72D297353CC}">
                  <c16:uniqueId val="{0000006A-CF34-4389-B765-0425B8F1998E}"/>
                </c:ext>
              </c:extLst>
            </c:dLbl>
            <c:dLbl>
              <c:idx val="32"/>
              <c:tx>
                <c:strRef>
                  <c:f>Pin!$AW$56</c:f>
                  <c:strCache>
                    <c:ptCount val="1"/>
                    <c:pt idx="0">
                      <c:v>-22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{AEE22EEF-6FE1-4C35-A36B-8B5DAE5CE68E}</c15:txfldGUID>
                      <c15:f>Pin!$AW$56</c15:f>
                      <c15:dlblFieldTableCache>
                        <c:ptCount val="1"/>
                        <c:pt idx="0">
                          <c:v>-22</c:v>
                        </c:pt>
                      </c15:dlblFieldTableCache>
                    </c15:dlblFTEntry>
                  </c15:dlblFieldTable>
                  <c15:showDataLabelsRange val="0"/>
                </c:ext>
                <c:ext xmlns:c16="http://schemas.microsoft.com/office/drawing/2014/chart" uri="{C3380CC4-5D6E-409C-BE32-E72D297353CC}">
                  <c16:uniqueId val="{0000006B-CF34-4389-B765-0425B8F1998E}"/>
                </c:ext>
              </c:extLst>
            </c:dLbl>
            <c:dLbl>
              <c:idx val="33"/>
              <c:tx>
                <c:strRef>
                  <c:f>Pin!$AW$57</c:f>
                  <c:strCache>
                    <c:ptCount val="1"/>
                    <c:pt idx="0">
                      <c:v>-7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{3F46C4BE-DF53-41D2-BCD8-86FE42DE351A}</c15:txfldGUID>
                      <c15:f>Pin!$AW$57</c15:f>
                      <c15:dlblFieldTableCache>
                        <c:ptCount val="1"/>
                        <c:pt idx="0">
                          <c:v>-7</c:v>
                        </c:pt>
                      </c15:dlblFieldTableCache>
                    </c15:dlblFTEntry>
                  </c15:dlblFieldTable>
                  <c15:showDataLabelsRange val="0"/>
                </c:ext>
                <c:ext xmlns:c16="http://schemas.microsoft.com/office/drawing/2014/chart" uri="{C3380CC4-5D6E-409C-BE32-E72D297353CC}">
                  <c16:uniqueId val="{0000006C-CF34-4389-B765-0425B8F1998E}"/>
                </c:ext>
              </c:extLst>
            </c:dLbl>
            <c:dLbl>
              <c:idx val="34"/>
              <c:tx>
                <c:strRef>
                  <c:f>Pin!$AW$58</c:f>
                  <c:strCache>
                    <c:ptCount val="1"/>
                    <c:pt idx="0">
                      <c:v>-25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{55BACC2C-A349-45BE-B73B-AB6CF0756357}</c15:txfldGUID>
                      <c15:f>Pin!$AW$58</c15:f>
                      <c15:dlblFieldTableCache>
                        <c:ptCount val="1"/>
                        <c:pt idx="0">
                          <c:v>-25</c:v>
                        </c:pt>
                      </c15:dlblFieldTableCache>
                    </c15:dlblFTEntry>
                  </c15:dlblFieldTable>
                  <c15:showDataLabelsRange val="0"/>
                </c:ext>
                <c:ext xmlns:c16="http://schemas.microsoft.com/office/drawing/2014/chart" uri="{C3380CC4-5D6E-409C-BE32-E72D297353CC}">
                  <c16:uniqueId val="{0000006D-CF34-4389-B765-0425B8F1998E}"/>
                </c:ext>
              </c:extLst>
            </c:dLbl>
            <c:dLbl>
              <c:idx val="35"/>
              <c:tx>
                <c:strRef>
                  <c:f>Pin!$AW$59</c:f>
                  <c:strCache>
                    <c:ptCount val="1"/>
                    <c:pt idx="0">
                      <c:v>-10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{B4F01D50-10E8-4F69-99E3-DE12BFF3BE4C}</c15:txfldGUID>
                      <c15:f>Pin!$AW$59</c15:f>
                      <c15:dlblFieldTableCache>
                        <c:ptCount val="1"/>
                        <c:pt idx="0">
                          <c:v>-10</c:v>
                        </c:pt>
                      </c15:dlblFieldTableCache>
                    </c15:dlblFTEntry>
                  </c15:dlblFieldTable>
                  <c15:showDataLabelsRange val="0"/>
                </c:ext>
                <c:ext xmlns:c16="http://schemas.microsoft.com/office/drawing/2014/chart" uri="{C3380CC4-5D6E-409C-BE32-E72D297353CC}">
                  <c16:uniqueId val="{0000006E-CF34-4389-B765-0425B8F1998E}"/>
                </c:ext>
              </c:extLst>
            </c:dLbl>
            <c:dLbl>
              <c:idx val="36"/>
              <c:tx>
                <c:strRef>
                  <c:f>Pin!$AW$60</c:f>
                  <c:strCache>
                    <c:ptCount val="1"/>
                    <c:pt idx="0">
                      <c:v>-28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{25693C96-F8F3-4CBB-B3F0-AC180A0FF893}</c15:txfldGUID>
                      <c15:f>Pin!$AW$60</c15:f>
                      <c15:dlblFieldTableCache>
                        <c:ptCount val="1"/>
                        <c:pt idx="0">
                          <c:v>-28</c:v>
                        </c:pt>
                      </c15:dlblFieldTableCache>
                    </c15:dlblFTEntry>
                  </c15:dlblFieldTable>
                  <c15:showDataLabelsRange val="0"/>
                </c:ext>
                <c:ext xmlns:c16="http://schemas.microsoft.com/office/drawing/2014/chart" uri="{C3380CC4-5D6E-409C-BE32-E72D297353CC}">
                  <c16:uniqueId val="{0000006F-CF34-4389-B765-0425B8F1998E}"/>
                </c:ext>
              </c:extLst>
            </c:dLbl>
            <c:dLbl>
              <c:idx val="37"/>
              <c:tx>
                <c:strRef>
                  <c:f>Pin!$AW$61</c:f>
                  <c:strCache>
                    <c:ptCount val="1"/>
                    <c:pt idx="0">
                      <c:v>-13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{BD8AAC83-1D32-4498-9B6D-D5564FDE17F3}</c15:txfldGUID>
                      <c15:f>Pin!$AW$61</c15:f>
                      <c15:dlblFieldTableCache>
                        <c:ptCount val="1"/>
                        <c:pt idx="0">
                          <c:v>-13</c:v>
                        </c:pt>
                      </c15:dlblFieldTableCache>
                    </c15:dlblFTEntry>
                  </c15:dlblFieldTable>
                  <c15:showDataLabelsRange val="0"/>
                </c:ext>
                <c:ext xmlns:c16="http://schemas.microsoft.com/office/drawing/2014/chart" uri="{C3380CC4-5D6E-409C-BE32-E72D297353CC}">
                  <c16:uniqueId val="{00000070-CF34-4389-B765-0425B8F1998E}"/>
                </c:ext>
              </c:extLst>
            </c:dLbl>
            <c:dLbl>
              <c:idx val="39"/>
              <c:tx>
                <c:strRef>
                  <c:f>Pin!$AW$63</c:f>
                  <c:strCache>
                    <c:ptCount val="1"/>
                    <c:pt idx="0">
                      <c:v>-16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{4D60EA80-86C6-4AD5-BDFA-960E0A906D62}</c15:txfldGUID>
                      <c15:f>Pin!$AW$63</c15:f>
                      <c15:dlblFieldTableCache>
                        <c:ptCount val="1"/>
                        <c:pt idx="0">
                          <c:v>-16</c:v>
                        </c:pt>
                      </c15:dlblFieldTableCache>
                    </c15:dlblFTEntry>
                  </c15:dlblFieldTable>
                  <c15:showDataLabelsRange val="0"/>
                </c:ext>
                <c:ext xmlns:c16="http://schemas.microsoft.com/office/drawing/2014/chart" uri="{C3380CC4-5D6E-409C-BE32-E72D297353CC}">
                  <c16:uniqueId val="{00000071-CF34-4389-B765-0425B8F1998E}"/>
                </c:ext>
              </c:extLst>
            </c:dLbl>
            <c:dLbl>
              <c:idx val="40"/>
              <c:tx>
                <c:strRef>
                  <c:f>Pin!$AW$64</c:f>
                  <c:strCache>
                    <c:ptCount val="1"/>
                    <c:pt idx="0">
                      <c:v>-1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{3EA0B10B-7BB2-45FB-9B1A-999B1CCE9E91}</c15:txfldGUID>
                      <c15:f>Pin!$AW$64</c15:f>
                      <c15:dlblFieldTableCache>
                        <c:ptCount val="1"/>
                        <c:pt idx="0">
                          <c:v>-1</c:v>
                        </c:pt>
                      </c15:dlblFieldTableCache>
                    </c15:dlblFTEntry>
                  </c15:dlblFieldTable>
                  <c15:showDataLabelsRange val="0"/>
                </c:ext>
                <c:ext xmlns:c16="http://schemas.microsoft.com/office/drawing/2014/chart" uri="{C3380CC4-5D6E-409C-BE32-E72D297353CC}">
                  <c16:uniqueId val="{00000072-CF34-4389-B765-0425B8F199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errBars>
            <c:errDir val="y"/>
            <c:errBarType val="plus"/>
            <c:errValType val="cust"/>
            <c:noEndCap val="1"/>
            <c:plus>
              <c:numRef>
                <c:f>Pin!$AN$24:$AN$64</c:f>
                <c:numCache>
                  <c:formatCode>General</c:formatCode>
                  <c:ptCount val="41"/>
                  <c:pt idx="0">
                    <c:v>0</c:v>
                  </c:pt>
                  <c:pt idx="1">
                    <c:v>0</c:v>
                  </c:pt>
                  <c:pt idx="2">
                    <c:v>0</c:v>
                  </c:pt>
                  <c:pt idx="3">
                    <c:v>0.28699999999999998</c:v>
                  </c:pt>
                  <c:pt idx="4">
                    <c:v>8.2000000000000003E-2</c:v>
                  </c:pt>
                  <c:pt idx="5">
                    <c:v>0.32800000000000001</c:v>
                  </c:pt>
                  <c:pt idx="6">
                    <c:v>0.12299999999999998</c:v>
                  </c:pt>
                  <c:pt idx="7">
                    <c:v>0.36899999999999999</c:v>
                  </c:pt>
                  <c:pt idx="8">
                    <c:v>0.16400000000000001</c:v>
                  </c:pt>
                  <c:pt idx="9">
                    <c:v>0.41</c:v>
                  </c:pt>
                  <c:pt idx="10">
                    <c:v>0.20499999999999999</c:v>
                  </c:pt>
                  <c:pt idx="11">
                    <c:v>0</c:v>
                  </c:pt>
                  <c:pt idx="12">
                    <c:v>0.24599999999999997</c:v>
                  </c:pt>
                  <c:pt idx="13">
                    <c:v>4.1000000000000002E-2</c:v>
                  </c:pt>
                  <c:pt idx="14">
                    <c:v>0.28699999999999998</c:v>
                  </c:pt>
                  <c:pt idx="15">
                    <c:v>0</c:v>
                  </c:pt>
                  <c:pt idx="16">
                    <c:v>0</c:v>
                  </c:pt>
                  <c:pt idx="17">
                    <c:v>0.17083333333333334</c:v>
                  </c:pt>
                  <c:pt idx="18">
                    <c:v>0</c:v>
                  </c:pt>
                  <c:pt idx="19">
                    <c:v>0</c:v>
                  </c:pt>
                  <c:pt idx="20">
                    <c:v>6.8333333333333328E-3</c:v>
                  </c:pt>
                  <c:pt idx="21">
                    <c:v>0</c:v>
                  </c:pt>
                  <c:pt idx="22">
                    <c:v>4.7833333333333332E-2</c:v>
                  </c:pt>
                  <c:pt idx="23">
                    <c:v>0</c:v>
                  </c:pt>
                  <c:pt idx="24">
                    <c:v>8.8833333333333334E-2</c:v>
                  </c:pt>
                  <c:pt idx="25">
                    <c:v>0</c:v>
                  </c:pt>
                  <c:pt idx="26">
                    <c:v>0.12983333333333333</c:v>
                  </c:pt>
                  <c:pt idx="27">
                    <c:v>0</c:v>
                  </c:pt>
                  <c:pt idx="28">
                    <c:v>0</c:v>
                  </c:pt>
                  <c:pt idx="29">
                    <c:v>6.8333333333333328E-3</c:v>
                  </c:pt>
                  <c:pt idx="30">
                    <c:v>0.25283333333333335</c:v>
                  </c:pt>
                  <c:pt idx="31">
                    <c:v>4.7833333333333332E-2</c:v>
                  </c:pt>
                  <c:pt idx="32">
                    <c:v>0.29383333333333334</c:v>
                  </c:pt>
                  <c:pt idx="33">
                    <c:v>8.8833333333333334E-2</c:v>
                  </c:pt>
                  <c:pt idx="34">
                    <c:v>0.33483333333333332</c:v>
                  </c:pt>
                  <c:pt idx="35">
                    <c:v>0.12983333333333333</c:v>
                  </c:pt>
                  <c:pt idx="36">
                    <c:v>0.3758333333333333</c:v>
                  </c:pt>
                  <c:pt idx="37">
                    <c:v>0.17083333333333334</c:v>
                  </c:pt>
                  <c:pt idx="38">
                    <c:v>0</c:v>
                  </c:pt>
                  <c:pt idx="39">
                    <c:v>0.21183333333333335</c:v>
                  </c:pt>
                  <c:pt idx="40">
                    <c:v>6.8333333333333328E-3</c:v>
                  </c:pt>
                </c:numCache>
              </c:numRef>
            </c:plus>
            <c:spPr>
              <a:ln w="19050">
                <a:solidFill>
                  <a:srgbClr val="C00000"/>
                </a:solidFill>
              </a:ln>
            </c:spPr>
          </c:errBars>
          <c:cat>
            <c:strRef>
              <c:f>Pin!$Y$24:$Y$64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Pin!$AE$24:$AE$64</c:f>
              <c:numCache>
                <c:formatCode>General</c:formatCode>
                <c:ptCount val="41"/>
                <c:pt idx="0">
                  <c:v>#N/A</c:v>
                </c:pt>
                <c:pt idx="1">
                  <c:v>#N/A</c:v>
                </c:pt>
                <c:pt idx="2">
                  <c:v>#N/A</c:v>
                </c:pt>
                <c:pt idx="3">
                  <c:v>2.1229999999999998</c:v>
                </c:pt>
                <c:pt idx="4">
                  <c:v>2.3279999999999998</c:v>
                </c:pt>
                <c:pt idx="5">
                  <c:v>2.0819999999999999</c:v>
                </c:pt>
                <c:pt idx="6">
                  <c:v>2.2869999999999999</c:v>
                </c:pt>
                <c:pt idx="7">
                  <c:v>2.0409999999999999</c:v>
                </c:pt>
                <c:pt idx="8">
                  <c:v>2.246</c:v>
                </c:pt>
                <c:pt idx="9">
                  <c:v>2</c:v>
                </c:pt>
                <c:pt idx="10">
                  <c:v>2.2050000000000001</c:v>
                </c:pt>
                <c:pt idx="11">
                  <c:v>#N/A</c:v>
                </c:pt>
                <c:pt idx="12">
                  <c:v>2.1640000000000001</c:v>
                </c:pt>
                <c:pt idx="13">
                  <c:v>2.3689999999999998</c:v>
                </c:pt>
                <c:pt idx="14">
                  <c:v>2.1229999999999998</c:v>
                </c:pt>
                <c:pt idx="15">
                  <c:v>#N/A</c:v>
                </c:pt>
                <c:pt idx="16">
                  <c:v>#N/A</c:v>
                </c:pt>
                <c:pt idx="17">
                  <c:v>2.2391666666666667</c:v>
                </c:pt>
                <c:pt idx="18">
                  <c:v>#N/A</c:v>
                </c:pt>
                <c:pt idx="19">
                  <c:v>#N/A</c:v>
                </c:pt>
                <c:pt idx="20">
                  <c:v>2.4031666666666665</c:v>
                </c:pt>
                <c:pt idx="21">
                  <c:v>#N/A</c:v>
                </c:pt>
                <c:pt idx="22">
                  <c:v>2.3621666666666665</c:v>
                </c:pt>
                <c:pt idx="23">
                  <c:v>#N/A</c:v>
                </c:pt>
                <c:pt idx="24">
                  <c:v>2.3211666666666666</c:v>
                </c:pt>
                <c:pt idx="25">
                  <c:v>#N/A</c:v>
                </c:pt>
                <c:pt idx="26">
                  <c:v>2.2801666666666667</c:v>
                </c:pt>
                <c:pt idx="27">
                  <c:v>#N/A</c:v>
                </c:pt>
                <c:pt idx="28">
                  <c:v>#N/A</c:v>
                </c:pt>
                <c:pt idx="29">
                  <c:v>2.4031666666666665</c:v>
                </c:pt>
                <c:pt idx="30">
                  <c:v>2.1571666666666669</c:v>
                </c:pt>
                <c:pt idx="31">
                  <c:v>2.3621666666666665</c:v>
                </c:pt>
                <c:pt idx="32">
                  <c:v>2.1161666666666665</c:v>
                </c:pt>
                <c:pt idx="33">
                  <c:v>2.3211666666666666</c:v>
                </c:pt>
                <c:pt idx="34">
                  <c:v>2.0751666666666666</c:v>
                </c:pt>
                <c:pt idx="35">
                  <c:v>2.2801666666666667</c:v>
                </c:pt>
                <c:pt idx="36">
                  <c:v>2.0341666666666667</c:v>
                </c:pt>
                <c:pt idx="37">
                  <c:v>2.2391666666666667</c:v>
                </c:pt>
                <c:pt idx="38">
                  <c:v>#N/A</c:v>
                </c:pt>
                <c:pt idx="39">
                  <c:v>2.1981666666666668</c:v>
                </c:pt>
                <c:pt idx="40">
                  <c:v>2.4031666666666665</c:v>
                </c:pt>
              </c:numCache>
            </c:numRef>
          </c:val>
          <c:smooth val="0"/>
          <c:extLst>
            <c:ext xmlns:c16="http://schemas.microsoft.com/office/drawing/2014/chart" uri="{C3380CC4-5D6E-409C-BE32-E72D297353CC}">
              <c16:uniqueId val="{00000057-CF34-4389-B765-0425B8F1998E}"/>
            </c:ext>
          </c:extLst>
        </c:ser>
        <c:ser>
          <c:idx val="6"/>
          <c:order val="6"/>
          <c:tx>
            <c:v>Variance vs plan</c:v>
          </c:tx>
          <c:spPr>
            <a:ln w="38100">
              <a:noFill/>
            </a:ln>
          </c:spPr>
          <c:marker>
            <c:symbol val="square"/>
            <c:size val="4"/>
            <c:spPr>
              <a:solidFill>
                <a:srgbClr val="404040"/>
              </a:solidFill>
              <a:ln>
                <a:solidFill>
                  <a:srgbClr val="404040"/>
                </a:solidFill>
                <a:prstDash val="solid"/>
              </a:ln>
            </c:spPr>
          </c:marker>
          <c:dLbls>
            <c:dLbl>
              <c:idx val="4"/>
              <c:tx>
                <c:strRef>
                  <c:f>Pin!$AX$28</c:f>
                  <c:strCache>
                    <c:ptCount val="1"/>
                    <c:pt idx="0">
                      <c:v>+13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{E6992157-6A36-459C-AB5A-B341D314F7A4}</c15:txfldGUID>
                      <c15:f>Pin!$AX$28</c15:f>
                      <c15:dlblFieldTableCache>
                        <c:ptCount val="1"/>
                        <c:pt idx="0">
                          <c:v>+13</c:v>
                        </c:pt>
                      </c15:dlblFieldTableCache>
                    </c15:dlblFTEntry>
                  </c15:dlblFieldTable>
                  <c15:showDataLabelsRange val="0"/>
                </c:ext>
                <c:ext xmlns:c16="http://schemas.microsoft.com/office/drawing/2014/chart" uri="{C3380CC4-5D6E-409C-BE32-E72D297353CC}">
                  <c16:uniqueId val="{00000074-CF34-4389-B765-0425B8F1998E}"/>
                </c:ext>
              </c:extLst>
            </c:dLbl>
            <c:dLbl>
              <c:idx val="6"/>
              <c:tx>
                <c:strRef>
                  <c:f>Pin!$AX$30</c:f>
                  <c:strCache>
                    <c:ptCount val="1"/>
                    <c:pt idx="0">
                      <c:v>+10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{9572F2DD-4740-434D-9A41-A501CD693660}</c15:txfldGUID>
                      <c15:f>Pin!$AX$30</c15:f>
                      <c15:dlblFieldTableCache>
                        <c:ptCount val="1"/>
                        <c:pt idx="0">
                          <c:v>+10</c:v>
                        </c:pt>
                      </c15:dlblFieldTableCache>
                    </c15:dlblFTEntry>
                  </c15:dlblFieldTable>
                  <c15:showDataLabelsRange val="0"/>
                </c:ext>
                <c:ext xmlns:c16="http://schemas.microsoft.com/office/drawing/2014/chart" uri="{C3380CC4-5D6E-409C-BE32-E72D297353CC}">
                  <c16:uniqueId val="{00000075-CF34-4389-B765-0425B8F1998E}"/>
                </c:ext>
              </c:extLst>
            </c:dLbl>
            <c:dLbl>
              <c:idx val="8"/>
              <c:tx>
                <c:strRef>
                  <c:f>Pin!$AX$32</c:f>
                  <c:strCache>
                    <c:ptCount val="1"/>
                    <c:pt idx="0">
                      <c:v>+7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{0368F0F8-23DB-475E-8793-9C6E2D47FB59}</c15:txfldGUID>
                      <c15:f>Pin!$AX$32</c15:f>
                      <c15:dlblFieldTableCache>
                        <c:ptCount val="1"/>
                        <c:pt idx="0">
                          <c:v>+7</c:v>
                        </c:pt>
                      </c15:dlblFieldTableCache>
                    </c15:dlblFTEntry>
                  </c15:dlblFieldTable>
                  <c15:showDataLabelsRange val="0"/>
                </c:ext>
                <c:ext xmlns:c16="http://schemas.microsoft.com/office/drawing/2014/chart" uri="{C3380CC4-5D6E-409C-BE32-E72D297353CC}">
                  <c16:uniqueId val="{00000076-CF34-4389-B765-0425B8F1998E}"/>
                </c:ext>
              </c:extLst>
            </c:dLbl>
            <c:dLbl>
              <c:idx val="10"/>
              <c:tx>
                <c:strRef>
                  <c:f>Pin!$AX$34</c:f>
                  <c:strCache>
                    <c:ptCount val="1"/>
                    <c:pt idx="0">
                      <c:v>+4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{26040465-2DB0-45FE-A11E-270C743DA459}</c15:txfldGUID>
                      <c15:f>Pin!$AX$34</c15:f>
                      <c15:dlblFieldTableCache>
                        <c:ptCount val="1"/>
                        <c:pt idx="0">
                          <c:v>+4</c:v>
                        </c:pt>
                      </c15:dlblFieldTableCache>
                    </c15:dlblFTEntry>
                  </c15:dlblFieldTable>
                  <c15:showDataLabelsRange val="0"/>
                </c:ext>
                <c:ext xmlns:c16="http://schemas.microsoft.com/office/drawing/2014/chart" uri="{C3380CC4-5D6E-409C-BE32-E72D297353CC}">
                  <c16:uniqueId val="{00000077-CF34-4389-B765-0425B8F1998E}"/>
                </c:ext>
              </c:extLst>
            </c:dLbl>
            <c:dLbl>
              <c:idx val="12"/>
              <c:tx>
                <c:strRef>
                  <c:f>Pin!$AX$36</c:f>
                  <c:strCache>
                    <c:ptCount val="1"/>
                    <c:pt idx="0">
                      <c:v>+1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{680134E3-684F-4957-81A8-25569C7E93C8}</c15:txfldGUID>
                      <c15:f>Pin!$AX$36</c15:f>
                      <c15:dlblFieldTableCache>
                        <c:ptCount val="1"/>
                        <c:pt idx="0">
                          <c:v>+1</c:v>
                        </c:pt>
                      </c15:dlblFieldTableCache>
                    </c15:dlblFTEntry>
                  </c15:dlblFieldTable>
                  <c15:showDataLabelsRange val="0"/>
                </c:ext>
                <c:ext xmlns:c16="http://schemas.microsoft.com/office/drawing/2014/chart" uri="{C3380CC4-5D6E-409C-BE32-E72D297353CC}">
                  <c16:uniqueId val="{00000078-CF34-4389-B765-0425B8F1998E}"/>
                </c:ext>
              </c:extLst>
            </c:dLbl>
            <c:dLbl>
              <c:idx val="16"/>
              <c:tx>
                <c:strRef>
                  <c:f>Pin!$AX$40</c:f>
                  <c:strCache>
                    <c:ptCount val="1"/>
                    <c:pt idx="0">
                      <c:v>+24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{0DDAC3D1-109C-404E-A433-A1CFF6B5B038}</c15:txfldGUID>
                      <c15:f>Pin!$AX$40</c15:f>
                      <c15:dlblFieldTableCache>
                        <c:ptCount val="1"/>
                        <c:pt idx="0">
                          <c:v>+24</c:v>
                        </c:pt>
                      </c15:dlblFieldTableCache>
                    </c15:dlblFTEntry>
                  </c15:dlblFieldTable>
                  <c15:showDataLabelsRange val="0"/>
                </c:ext>
                <c:ext xmlns:c16="http://schemas.microsoft.com/office/drawing/2014/chart" uri="{C3380CC4-5D6E-409C-BE32-E72D297353CC}">
                  <c16:uniqueId val="{00000079-CF34-4389-B765-0425B8F1998E}"/>
                </c:ext>
              </c:extLst>
            </c:dLbl>
            <c:dLbl>
              <c:idx val="17"/>
              <c:tx>
                <c:strRef>
                  <c:f>Pin!$AX$41</c:f>
                  <c:strCache>
                    <c:ptCount val="1"/>
                    <c:pt idx="0">
                      <c:v>+6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{D3FE82D3-A05C-4C61-8291-803F5C301178}</c15:txfldGUID>
                      <c15:f>Pin!$AX$41</c15:f>
                      <c15:dlblFieldTableCache>
                        <c:ptCount val="1"/>
                        <c:pt idx="0">
                          <c:v>+6</c:v>
                        </c:pt>
                      </c15:dlblFieldTableCache>
                    </c15:dlblFTEntry>
                  </c15:dlblFieldTable>
                  <c15:showDataLabelsRange val="0"/>
                </c:ext>
                <c:ext xmlns:c16="http://schemas.microsoft.com/office/drawing/2014/chart" uri="{C3380CC4-5D6E-409C-BE32-E72D297353CC}">
                  <c16:uniqueId val="{0000007A-CF34-4389-B765-0425B8F1998E}"/>
                </c:ext>
              </c:extLst>
            </c:dLbl>
            <c:dLbl>
              <c:idx val="18"/>
              <c:tx>
                <c:strRef>
                  <c:f>Pin!$AX$42</c:f>
                  <c:strCache>
                    <c:ptCount val="1"/>
                    <c:pt idx="0">
                      <c:v>+21</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{DD230614-5343-4914-827A-785405820535}</c15:txfldGUID>
                      <c15:f>Pin!$AX$42</c15:f>
                      <c15:dlblFieldTableCache>
                        <c:ptCount val="1"/>
                        <c:pt idx="0">
                          <c:v>+21</c:v>
                        </c:pt>
                      </c15:dlblFieldTableCache>
                    </c15:dlblFTEntry>
                  </c15:dlblFieldTable>
                  <c15:showDataLabelsRange val="0"/>
                </c:ext>
                <c:ext xmlns:c16="http://schemas.microsoft.com/office/drawing/2014/chart" uri="{C3380CC4-5D6E-409C-BE32-E72D297353CC}">
                  <c16:uniqueId val="{0000007B-CF34-4389-B765-0425B8F1998E}"/>
                </c:ext>
              </c:extLst>
            </c:dLbl>
            <c:dLbl>
              <c:idx val="19"/>
              <c:tx>
                <c:strRef>
                  <c:f>Pin!$AX$43</c:f>
                  <c:strCache>
                    <c:ptCount val="1"/>
                    <c:pt idx="0">
                      <c:v>+3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{8143B897-0297-4789-9D40-AD0698616567}</c15:txfldGUID>
                      <c15:f>Pin!$AX$43</c15:f>
                      <c15:dlblFieldTableCache>
                        <c:ptCount val="1"/>
                        <c:pt idx="0">
                          <c:v>+3</c:v>
                        </c:pt>
                      </c15:dlblFieldTableCache>
                    </c15:dlblFTEntry>
                  </c15:dlblFieldTable>
                  <c15:showDataLabelsRange val="0"/>
                </c:ext>
                <c:ext xmlns:c16="http://schemas.microsoft.com/office/drawing/2014/chart" uri="{C3380CC4-5D6E-409C-BE32-E72D297353CC}">
                  <c16:uniqueId val="{0000007C-CF34-4389-B765-0425B8F1998E}"/>
                </c:ext>
              </c:extLst>
            </c:dLbl>
            <c:dLbl>
              <c:idx val="20"/>
              <c:tx>
                <c:strRef>
                  <c:f>Pin!$AX$44</c:f>
                  <c:strCache>
                    <c:ptCount val="1"/>
                    <c:pt idx="0">
                      <c:v>+18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{7C4D1CB3-16F9-4232-A98E-2D58EE900612}</c15:txfldGUID>
                      <c15:f>Pin!$AX$44</c15:f>
                      <c15:dlblFieldTableCache>
                        <c:ptCount val="1"/>
                        <c:pt idx="0">
                          <c:v>+18</c:v>
                        </c:pt>
                      </c15:dlblFieldTableCache>
                    </c15:dlblFTEntry>
                  </c15:dlblFieldTable>
                  <c15:showDataLabelsRange val="0"/>
                </c:ext>
                <c:ext xmlns:c16="http://schemas.microsoft.com/office/drawing/2014/chart" uri="{C3380CC4-5D6E-409C-BE32-E72D297353CC}">
                  <c16:uniqueId val="{0000007D-CF34-4389-B765-0425B8F1998E}"/>
                </c:ext>
              </c:extLst>
            </c:dLbl>
            <c:dLbl>
              <c:idx val="21"/>
              <c:tx>
                <c:strRef>
                  <c:f>Pin!$AX$45</c:f>
                  <c:strCache>
                    <c:ptCount val="1"/>
                    <c:pt idx="0">
                      <c:v>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{E89040E6-B300-4A35-A566-953C36C0316C}</c15:txfldGUID>
                      <c15:f>Pin!$AX$45</c15:f>
                      <c15:dlblFieldTableCache>
                        <c:ptCount val="1"/>
                        <c:pt idx="0">
                          <c:v>0</c:v>
                        </c:pt>
                      </c15:dlblFieldTableCache>
                    </c15:dlblFTEntry>
                  </c15:dlblFieldTable>
                  <c15:showDataLabelsRange val="0"/>
                </c:ext>
                <c:ext xmlns:c16="http://schemas.microsoft.com/office/drawing/2014/chart" uri="{C3380CC4-5D6E-409C-BE32-E72D297353CC}">
                  <c16:uniqueId val="{0000007E-CF34-4389-B765-0425B8F1998E}"/>
                </c:ext>
              </c:extLst>
            </c:dLbl>
            <c:dLbl>
              <c:idx val="22"/>
              <c:tx>
                <c:strRef>
                  <c:f>Pin!$AX$46</c:f>
                  <c:strCache>
                    <c:ptCount val="1"/>
                    <c:pt idx="0">
                      <c:v>+15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{6440C2B0-5796-4843-B677-CF5C04D698B3}</c15:txfldGUID>
                      <c15:f>Pin!$AX$46</c15:f>
                      <c15:dlblFieldTableCache>
                        <c:ptCount val="1"/>
                        <c:pt idx="0">
                          <c:v>+15</c:v>
                        </c:pt>
                      </c15:dlblFieldTableCache>
                    </c15:dlblFTEntry>
                  </c15:dlblFieldTable>
                  <c15:showDataLabelsRange val="0"/>
                </c:ext>
                <c:ext xmlns:c16="http://schemas.microsoft.com/office/drawing/2014/chart" uri="{C3380CC4-5D6E-409C-BE32-E72D297353CC}">
                  <c16:uniqueId val="{0000007F-CF34-4389-B765-0425B8F1998E}"/>
                </c:ext>
              </c:extLst>
            </c:dLbl>
            <c:dLbl>
              <c:idx val="23"/>
              <c:tx>
                <c:strRef>
                  <c:f>Pin!$AX$47</c:f>
                  <c:strCache>
                    <c:ptCount val="1"/>
                    <c:pt idx="0">
                      <c:v>+30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{3C390EE8-FE43-40E9-B11B-175B3EEA13BE}</c15:txfldGUID>
                      <c15:f>Pin!$AX$47</c15:f>
                      <c15:dlblFieldTableCache>
                        <c:ptCount val="1"/>
                        <c:pt idx="0">
                          <c:v>+30</c:v>
                        </c:pt>
                      </c15:dlblFieldTableCache>
                    </c15:dlblFTEntry>
                  </c15:dlblFieldTable>
                  <c15:showDataLabelsRange val="0"/>
                </c:ext>
                <c:ext xmlns:c16="http://schemas.microsoft.com/office/drawing/2014/chart" uri="{C3380CC4-5D6E-409C-BE32-E72D297353CC}">
                  <c16:uniqueId val="{00000080-CF34-4389-B765-0425B8F1998E}"/>
                </c:ext>
              </c:extLst>
            </c:dLbl>
            <c:dLbl>
              <c:idx val="24"/>
              <c:tx>
                <c:strRef>
                  <c:f>Pin!$AX$48</c:f>
                  <c:strCache>
                    <c:ptCount val="1"/>
                    <c:pt idx="0">
                      <c:v>+12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{42893E62-6AE3-4D0D-9B2B-60AACE391545}</c15:txfldGUID>
                      <c15:f>Pin!$AX$48</c15:f>
                      <c15:dlblFieldTableCache>
                        <c:ptCount val="1"/>
                        <c:pt idx="0">
                          <c:v>+12</c:v>
                        </c:pt>
                      </c15:dlblFieldTableCache>
                    </c15:dlblFTEntry>
                  </c15:dlblFieldTable>
                  <c15:showDataLabelsRange val="0"/>
                </c:ext>
                <c:ext xmlns:c16="http://schemas.microsoft.com/office/drawing/2014/chart" uri="{C3380CC4-5D6E-409C-BE32-E72D297353CC}">
                  <c16:uniqueId val="{00000081-CF34-4389-B765-0425B8F1998E}"/>
                </c:ext>
              </c:extLst>
            </c:dLbl>
            <c:dLbl>
              <c:idx val="25"/>
              <c:tx>
                <c:strRef>
                  <c:f>Pin!$AX$49</c:f>
                  <c:strCache>
                    <c:ptCount val="1"/>
                    <c:pt idx="0">
                      <c:v>+27</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{CA20E1CE-E1F7-44BE-BF1C-BB33DAACE684}</c15:txfldGUID>
                      <c15:f>Pin!$AX$49</c15:f>
                      <c15:dlblFieldTableCache>
                        <c:ptCount val="1"/>
                        <c:pt idx="0">
                          <c:v>+27</c:v>
                        </c:pt>
                      </c15:dlblFieldTableCache>
                    </c15:dlblFTEntry>
                  </c15:dlblFieldTable>
                  <c15:showDataLabelsRange val="0"/>
                </c:ext>
                <c:ext xmlns:c16="http://schemas.microsoft.com/office/drawing/2014/chart" uri="{C3380CC4-5D6E-409C-BE32-E72D297353CC}">
                  <c16:uniqueId val="{00000082-CF34-4389-B765-0425B8F1998E}"/>
                </c:ext>
              </c:extLst>
            </c:dLbl>
            <c:dLbl>
              <c:idx val="26"/>
              <c:tx>
                <c:strRef>
                  <c:f>Pin!$AX$50</c:f>
                  <c:strCache>
                    <c:ptCount val="1"/>
                    <c:pt idx="0">
                      <c:v>+9</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{022E1201-4190-4578-8367-952373A10F09}</c15:txfldGUID>
                      <c15:f>Pin!$AX$50</c15:f>
                      <c15:dlblFieldTableCache>
                        <c:ptCount val="1"/>
                        <c:pt idx="0">
                          <c:v>+9</c:v>
                        </c:pt>
                      </c15:dlblFieldTableCache>
                    </c15:dlblFTEntry>
                  </c15:dlblFieldTable>
                  <c15:showDataLabelsRange val="0"/>
                </c:ext>
                <c:ext xmlns:c16="http://schemas.microsoft.com/office/drawing/2014/chart" uri="{C3380CC4-5D6E-409C-BE32-E72D297353CC}">
                  <c16:uniqueId val="{00000083-CF34-4389-B765-0425B8F1998E}"/>
                </c:ext>
              </c:extLst>
            </c:dLbl>
            <c:dLbl>
              <c:idx val="27"/>
              <c:tx>
                <c:strRef>
                  <c:f>Pin!$AX$51</c:f>
                  <c:strCache>
                    <c:ptCount val="1"/>
                    <c:pt idx="0">
                      <c:v>+24</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{CACC43C6-D0EF-4199-892E-E100AD4628B9}</c15:txfldGUID>
                      <c15:f>Pin!$AX$51</c15:f>
                      <c15:dlblFieldTableCache>
                        <c:ptCount val="1"/>
                        <c:pt idx="0">
                          <c:v>+24</c:v>
                        </c:pt>
                      </c15:dlblFieldTableCache>
                    </c15:dlblFTEntry>
                  </c15:dlblFieldTable>
                  <c15:showDataLabelsRange val="0"/>
                </c:ext>
                <c:ext xmlns:c16="http://schemas.microsoft.com/office/drawing/2014/chart" uri="{C3380CC4-5D6E-409C-BE32-E72D297353CC}">
                  <c16:uniqueId val="{00000084-CF34-4389-B765-0425B8F1998E}"/>
                </c:ext>
              </c:extLst>
            </c:dLbl>
            <c:dLbl>
              <c:idx val="30"/>
              <c:tx>
                <c:strRef>
                  <c:f>Pin!$AX$54</c:f>
                  <c:strCache>
                    <c:ptCount val="1"/>
                    <c:pt idx="0">
                      <c:v>0</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{B1BE59C8-B943-4A78-8FDB-B6E2C4B4C146}</c15:txfldGUID>
                      <c15:f>Pin!$AX$54</c15:f>
                      <c15:dlblFieldTableCache>
                        <c:ptCount val="1"/>
                        <c:pt idx="0">
                          <c:v>0</c:v>
                        </c:pt>
                      </c15:dlblFieldTableCache>
                    </c15:dlblFTEntry>
                  </c15:dlblFieldTable>
                  <c15:showDataLabelsRange val="0"/>
                </c:ext>
                <c:ext xmlns:c16="http://schemas.microsoft.com/office/drawing/2014/chart" uri="{C3380CC4-5D6E-409C-BE32-E72D297353CC}">
                  <c16:uniqueId val="{00000085-CF34-4389-B765-0425B8F1998E}"/>
                </c:ext>
              </c:extLst>
            </c:dLbl>
            <c:dLbl>
              <c:idx val="31"/>
              <c:tx>
                <c:strRef>
                  <c:f>Pin!$AX$55</c:f>
                  <c:strCache>
                    <c:ptCount val="1"/>
                    <c:pt idx="0">
                      <c:v>+15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{1B93296E-C7BF-4184-8A15-037933E07FD6}</c15:txfldGUID>
                      <c15:f>Pin!$AX$55</c15:f>
                      <c15:dlblFieldTableCache>
                        <c:ptCount val="1"/>
                        <c:pt idx="0">
                          <c:v>+15</c:v>
                        </c:pt>
                      </c15:dlblFieldTableCache>
                    </c15:dlblFTEntry>
                  </c15:dlblFieldTable>
                  <c15:showDataLabelsRange val="0"/>
                </c:ext>
                <c:ext xmlns:c16="http://schemas.microsoft.com/office/drawing/2014/chart" uri="{C3380CC4-5D6E-409C-BE32-E72D297353CC}">
                  <c16:uniqueId val="{00000086-CF34-4389-B765-0425B8F1998E}"/>
                </c:ext>
              </c:extLst>
            </c:dLbl>
            <c:dLbl>
              <c:idx val="33"/>
              <c:tx>
                <c:strRef>
                  <c:f>Pin!$AX$57</c:f>
                  <c:strCache>
                    <c:ptCount val="1"/>
                    <c:pt idx="0">
                      <c:v>+12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{3009DC27-E3E4-4A2F-ABC6-4C2EF0844E82}</c15:txfldGUID>
                      <c15:f>Pin!$AX$57</c15:f>
                      <c15:dlblFieldTableCache>
                        <c:ptCount val="1"/>
                        <c:pt idx="0">
                          <c:v>+12</c:v>
                        </c:pt>
                      </c15:dlblFieldTableCache>
                    </c15:dlblFTEntry>
                  </c15:dlblFieldTable>
                  <c15:showDataLabelsRange val="0"/>
                </c:ext>
                <c:ext xmlns:c16="http://schemas.microsoft.com/office/drawing/2014/chart" uri="{C3380CC4-5D6E-409C-BE32-E72D297353CC}">
                  <c16:uniqueId val="{00000087-CF34-4389-B765-0425B8F1998E}"/>
                </c:ext>
              </c:extLst>
            </c:dLbl>
            <c:dLbl>
              <c:idx val="35"/>
              <c:tx>
                <c:strRef>
                  <c:f>Pin!$AX$59</c:f>
                  <c:strCache>
                    <c:ptCount val="1"/>
                    <c:pt idx="0">
                      <c:v>+9</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{D223C13A-E7B9-45F6-AF42-9926B4E42498}</c15:txfldGUID>
                      <c15:f>Pin!$AX$59</c15:f>
                      <c15:dlblFieldTableCache>
                        <c:ptCount val="1"/>
                        <c:pt idx="0">
                          <c:v>+9</c:v>
                        </c:pt>
                      </c15:dlblFieldTableCache>
                    </c15:dlblFTEntry>
                  </c15:dlblFieldTable>
                  <c15:showDataLabelsRange val="0"/>
                </c:ext>
                <c:ext xmlns:c16="http://schemas.microsoft.com/office/drawing/2014/chart" uri="{C3380CC4-5D6E-409C-BE32-E72D297353CC}">
                  <c16:uniqueId val="{00000088-CF34-4389-B765-0425B8F1998E}"/>
                </c:ext>
              </c:extLst>
            </c:dLbl>
            <c:dLbl>
              <c:idx val="37"/>
              <c:tx>
                <c:strRef>
                  <c:f>Pin!$AX$61</c:f>
                  <c:strCache>
                    <c:ptCount val="1"/>
                    <c:pt idx="0">
                      <c:v>+6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{7483C2F9-6362-4899-A82C-C571D3C6B3DF}</c15:txfldGUID>
                      <c15:f>Pin!$AX$61</c15:f>
                      <c15:dlblFieldTableCache>
                        <c:ptCount val="1"/>
                        <c:pt idx="0">
                          <c:v>+6</c:v>
                        </c:pt>
                      </c15:dlblFieldTableCache>
                    </c15:dlblFTEntry>
                  </c15:dlblFieldTable>
                  <c15:showDataLabelsRange val="0"/>
                </c:ext>
                <c:ext xmlns:c16="http://schemas.microsoft.com/office/drawing/2014/chart" uri="{C3380CC4-5D6E-409C-BE32-E72D297353CC}">
                  <c16:uniqueId val="{00000089-CF34-4389-B765-0425B8F1998E}"/>
                </c:ext>
              </c:extLst>
            </c:dLbl>
            <c:dLbl>
              <c:idx val="39"/>
              <c:tx>
                <c:strRef>
                  <c:f>Pin!$AX$63</c:f>
                  <c:strCache>
                    <c:ptCount val="1"/>
                    <c:pt idx="0">
                      <c:v>+3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{91ACCE3C-3E68-4CDE-AB39-8E26A8BB7826}</c15:txfldGUID>
                      <c15:f>Pin!$AX$63</c15:f>
                      <c15:dlblFieldTableCache>
                        <c:ptCount val="1"/>
                        <c:pt idx="0">
                          <c:v>+3</c:v>
                        </c:pt>
                      </c15:dlblFieldTableCache>
                    </c15:dlblFTEntry>
                  </c15:dlblFieldTable>
                  <c15:showDataLabelsRange val="0"/>
                </c:ext>
                <c:ext xmlns:c16="http://schemas.microsoft.com/office/drawing/2014/chart" uri="{C3380CC4-5D6E-409C-BE32-E72D297353CC}">
                  <c16:uniqueId val="{0000008A-CF34-4389-B765-0425B8F199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errBars>
            <c:errDir val="y"/>
            <c:errBarType val="minus"/>
            <c:errValType val="cust"/>
            <c:noEndCap val="1"/>
            <c:minus>
              <c:numRef>
                <c:f>Pin!$AO$24:$AO$64</c:f>
                <c:numCache>
                  <c:formatCode>General</c:formatCode>
                  <c:ptCount val="41"/>
                  <c:pt idx="0">
                    <c:v>0</c:v>
                  </c:pt>
                  <c:pt idx="1">
                    <c:v>0</c:v>
                  </c:pt>
                  <c:pt idx="2">
                    <c:v>0</c:v>
                  </c:pt>
                  <c:pt idx="3">
                    <c:v>0</c:v>
                  </c:pt>
                  <c:pt idx="4">
                    <c:v>0.17083333333333334</c:v>
                  </c:pt>
                  <c:pt idx="5">
                    <c:v>0</c:v>
                  </c:pt>
                  <c:pt idx="6">
                    <c:v>0.12983333333333333</c:v>
                  </c:pt>
                  <c:pt idx="7">
                    <c:v>0</c:v>
                  </c:pt>
                  <c:pt idx="8">
                    <c:v>8.8833333333333334E-2</c:v>
                  </c:pt>
                  <c:pt idx="9">
                    <c:v>0</c:v>
                  </c:pt>
                  <c:pt idx="10">
                    <c:v>4.7833333333333332E-2</c:v>
                  </c:pt>
                  <c:pt idx="11">
                    <c:v>0</c:v>
                  </c:pt>
                  <c:pt idx="12">
                    <c:v>6.8333333333333328E-3</c:v>
                  </c:pt>
                  <c:pt idx="13">
                    <c:v>0</c:v>
                  </c:pt>
                  <c:pt idx="14">
                    <c:v>0</c:v>
                  </c:pt>
                  <c:pt idx="15">
                    <c:v>0</c:v>
                  </c:pt>
                  <c:pt idx="16">
                    <c:v>0.32800000000000001</c:v>
                  </c:pt>
                  <c:pt idx="17">
                    <c:v>8.2000000000000003E-2</c:v>
                  </c:pt>
                  <c:pt idx="18">
                    <c:v>0.28699999999999998</c:v>
                  </c:pt>
                  <c:pt idx="19">
                    <c:v>4.1000000000000002E-2</c:v>
                  </c:pt>
                  <c:pt idx="20">
                    <c:v>0.24599999999999997</c:v>
                  </c:pt>
                  <c:pt idx="21">
                    <c:v>0</c:v>
                  </c:pt>
                  <c:pt idx="22">
                    <c:v>0.20499999999999999</c:v>
                  </c:pt>
                  <c:pt idx="23">
                    <c:v>0.41</c:v>
                  </c:pt>
                  <c:pt idx="24">
                    <c:v>0.16400000000000001</c:v>
                  </c:pt>
                  <c:pt idx="25">
                    <c:v>0.36899999999999999</c:v>
                  </c:pt>
                  <c:pt idx="26">
                    <c:v>0.12299999999999998</c:v>
                  </c:pt>
                  <c:pt idx="27">
                    <c:v>0.32800000000000001</c:v>
                  </c:pt>
                  <c:pt idx="28">
                    <c:v>0</c:v>
                  </c:pt>
                  <c:pt idx="29">
                    <c:v>0</c:v>
                  </c:pt>
                  <c:pt idx="30">
                    <c:v>0</c:v>
                  </c:pt>
                  <c:pt idx="31">
                    <c:v>0.20499999999999999</c:v>
                  </c:pt>
                  <c:pt idx="32">
                    <c:v>0</c:v>
                  </c:pt>
                  <c:pt idx="33">
                    <c:v>0.16400000000000001</c:v>
                  </c:pt>
                  <c:pt idx="34">
                    <c:v>0</c:v>
                  </c:pt>
                  <c:pt idx="35">
                    <c:v>0.12299999999999998</c:v>
                  </c:pt>
                  <c:pt idx="36">
                    <c:v>0</c:v>
                  </c:pt>
                  <c:pt idx="37">
                    <c:v>8.2000000000000003E-2</c:v>
                  </c:pt>
                  <c:pt idx="38">
                    <c:v>0</c:v>
                  </c:pt>
                  <c:pt idx="39">
                    <c:v>4.1000000000000002E-2</c:v>
                  </c:pt>
                  <c:pt idx="40">
                    <c:v>0</c:v>
                  </c:pt>
                </c:numCache>
              </c:numRef>
            </c:minus>
            <c:spPr>
              <a:ln w="19050">
                <a:solidFill>
                  <a:srgbClr val="8CB400"/>
                </a:solidFill>
              </a:ln>
            </c:spPr>
          </c:errBars>
          <c:cat>
            <c:strRef>
              <c:f>Pin!$Y$24:$Y$64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Pin!$AF$24:$AF$64</c:f>
              <c:numCache>
                <c:formatCode>General</c:formatCode>
                <c:ptCount val="41"/>
                <c:pt idx="0">
                  <c:v>#N/A</c:v>
                </c:pt>
                <c:pt idx="1">
                  <c:v>#N/A</c:v>
                </c:pt>
                <c:pt idx="2">
                  <c:v>#N/A</c:v>
                </c:pt>
                <c:pt idx="3">
                  <c:v>#N/A</c:v>
                </c:pt>
                <c:pt idx="4">
                  <c:v>3.5808333333333335</c:v>
                </c:pt>
                <c:pt idx="5">
                  <c:v>#N/A</c:v>
                </c:pt>
                <c:pt idx="6">
                  <c:v>3.5398333333333332</c:v>
                </c:pt>
                <c:pt idx="7">
                  <c:v>#N/A</c:v>
                </c:pt>
                <c:pt idx="8">
                  <c:v>3.4988333333333332</c:v>
                </c:pt>
                <c:pt idx="9">
                  <c:v>#N/A</c:v>
                </c:pt>
                <c:pt idx="10">
                  <c:v>3.4578333333333333</c:v>
                </c:pt>
                <c:pt idx="11">
                  <c:v>#N/A</c:v>
                </c:pt>
                <c:pt idx="12">
                  <c:v>3.4168333333333334</c:v>
                </c:pt>
                <c:pt idx="13">
                  <c:v>#N/A</c:v>
                </c:pt>
                <c:pt idx="14">
                  <c:v>#N/A</c:v>
                </c:pt>
                <c:pt idx="15">
                  <c:v>#N/A</c:v>
                </c:pt>
                <c:pt idx="16">
                  <c:v>3.738</c:v>
                </c:pt>
                <c:pt idx="17">
                  <c:v>3.492</c:v>
                </c:pt>
                <c:pt idx="18">
                  <c:v>3.6970000000000001</c:v>
                </c:pt>
                <c:pt idx="19">
                  <c:v>3.4510000000000001</c:v>
                </c:pt>
                <c:pt idx="20">
                  <c:v>3.6560000000000001</c:v>
                </c:pt>
                <c:pt idx="21">
                  <c:v>3.41</c:v>
                </c:pt>
                <c:pt idx="22">
                  <c:v>3.6150000000000002</c:v>
                </c:pt>
                <c:pt idx="23">
                  <c:v>3.82</c:v>
                </c:pt>
                <c:pt idx="24">
                  <c:v>3.5739999999999998</c:v>
                </c:pt>
                <c:pt idx="25">
                  <c:v>3.7789999999999999</c:v>
                </c:pt>
                <c:pt idx="26">
                  <c:v>3.5329999999999999</c:v>
                </c:pt>
                <c:pt idx="27">
                  <c:v>3.738</c:v>
                </c:pt>
                <c:pt idx="28">
                  <c:v>#N/A</c:v>
                </c:pt>
                <c:pt idx="29">
                  <c:v>#N/A</c:v>
                </c:pt>
                <c:pt idx="30">
                  <c:v>3.41</c:v>
                </c:pt>
                <c:pt idx="31">
                  <c:v>3.6150000000000002</c:v>
                </c:pt>
                <c:pt idx="32">
                  <c:v>#N/A</c:v>
                </c:pt>
                <c:pt idx="33">
                  <c:v>3.5739999999999998</c:v>
                </c:pt>
                <c:pt idx="34">
                  <c:v>#N/A</c:v>
                </c:pt>
                <c:pt idx="35">
                  <c:v>3.5329999999999999</c:v>
                </c:pt>
                <c:pt idx="36">
                  <c:v>#N/A</c:v>
                </c:pt>
                <c:pt idx="37">
                  <c:v>3.492</c:v>
                </c:pt>
                <c:pt idx="38">
                  <c:v>#N/A</c:v>
                </c:pt>
                <c:pt idx="39">
                  <c:v>3.4510000000000001</c:v>
                </c:pt>
                <c:pt idx="40">
                  <c:v>#N/A</c:v>
                </c:pt>
              </c:numCache>
            </c:numRef>
          </c:val>
          <c:smooth val="0"/>
          <c:extLst>
            <c:ext xmlns:c16="http://schemas.microsoft.com/office/drawing/2014/chart" uri="{C3380CC4-5D6E-409C-BE32-E72D297353CC}">
              <c16:uniqueId val="{00000073-CF34-4389-B765-0425B8F1998E}"/>
            </c:ext>
          </c:extLst>
        </c:ser>
        <c:ser>
          <c:idx val="7"/>
          <c:order val="7"/>
          <c:tx>
            <c:v> </c:v>
          </c:tx>
          <c:spPr>
            <a:ln w="38100">
              <a:noFill/>
            </a:ln>
          </c:spPr>
          <c:marker>
            <c:symbol val="square"/>
            <c:size val="4"/>
            <c:spPr>
              <a:solidFill>
                <a:srgbClr val="404040"/>
              </a:solidFill>
              <a:ln>
                <a:solidFill>
                  <a:srgbClr val="404040"/>
                </a:solidFill>
                <a:prstDash val="solid"/>
              </a:ln>
            </c:spPr>
          </c:marker>
          <c:dLbls>
            <c:dLbl>
              <c:idx val="3"/>
              <c:tx>
                <c:strRef>
                  <c:f>Pin!$AY$27</c:f>
                  <c:strCache>
                    <c:ptCount val="1"/>
                    <c:pt idx="0">
                      <c:v>-3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{1F312809-9834-4DA3-9C92-12B0AD70F625}</c15:txfldGUID>
                      <c15:f>Pin!$AY$27</c15:f>
                      <c15:dlblFieldTableCache>
                        <c:ptCount val="1"/>
                        <c:pt idx="0">
                          <c:v>-3</c:v>
                        </c:pt>
                      </c15:dlblFieldTableCache>
                    </c15:dlblFTEntry>
                  </c15:dlblFieldTable>
                  <c15:showDataLabelsRange val="0"/>
                </c:ext>
                <c:ext xmlns:c16="http://schemas.microsoft.com/office/drawing/2014/chart" uri="{C3380CC4-5D6E-409C-BE32-E72D297353CC}">
                  <c16:uniqueId val="{0000008C-CF34-4389-B765-0425B8F1998E}"/>
                </c:ext>
              </c:extLst>
            </c:dLbl>
            <c:dLbl>
              <c:idx val="5"/>
              <c:tx>
                <c:strRef>
                  <c:f>Pin!$AY$29</c:f>
                  <c:strCache>
                    <c:ptCount val="1"/>
                    <c:pt idx="0">
                      <c:v>-6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{D5A074EB-24C9-40E9-A767-3EBB9888BCF2}</c15:txfldGUID>
                      <c15:f>Pin!$AY$29</c15:f>
                      <c15:dlblFieldTableCache>
                        <c:ptCount val="1"/>
                        <c:pt idx="0">
                          <c:v>-6</c:v>
                        </c:pt>
                      </c15:dlblFieldTableCache>
                    </c15:dlblFTEntry>
                  </c15:dlblFieldTable>
                  <c15:showDataLabelsRange val="0"/>
                </c:ext>
                <c:ext xmlns:c16="http://schemas.microsoft.com/office/drawing/2014/chart" uri="{C3380CC4-5D6E-409C-BE32-E72D297353CC}">
                  <c16:uniqueId val="{0000008D-CF34-4389-B765-0425B8F1998E}"/>
                </c:ext>
              </c:extLst>
            </c:dLbl>
            <c:dLbl>
              <c:idx val="7"/>
              <c:tx>
                <c:strRef>
                  <c:f>Pin!$AY$31</c:f>
                  <c:strCache>
                    <c:ptCount val="1"/>
                    <c:pt idx="0">
                      <c:v>-9</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{D5B05124-15A2-45AF-ACE7-49D05F8F87D8}</c15:txfldGUID>
                      <c15:f>Pin!$AY$31</c15:f>
                      <c15:dlblFieldTableCache>
                        <c:ptCount val="1"/>
                        <c:pt idx="0">
                          <c:v>-9</c:v>
                        </c:pt>
                      </c15:dlblFieldTableCache>
                    </c15:dlblFTEntry>
                  </c15:dlblFieldTable>
                  <c15:showDataLabelsRange val="0"/>
                </c:ext>
                <c:ext xmlns:c16="http://schemas.microsoft.com/office/drawing/2014/chart" uri="{C3380CC4-5D6E-409C-BE32-E72D297353CC}">
                  <c16:uniqueId val="{0000008E-CF34-4389-B765-0425B8F1998E}"/>
                </c:ext>
              </c:extLst>
            </c:dLbl>
            <c:dLbl>
              <c:idx val="9"/>
              <c:tx>
                <c:strRef>
                  <c:f>Pin!$AY$33</c:f>
                  <c:strCache>
                    <c:ptCount val="1"/>
                    <c:pt idx="0">
                      <c:v>-12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{40E88042-4C43-44EF-AD7D-E177638D288A}</c15:txfldGUID>
                      <c15:f>Pin!$AY$33</c15:f>
                      <c15:dlblFieldTableCache>
                        <c:ptCount val="1"/>
                        <c:pt idx="0">
                          <c:v>-12</c:v>
                        </c:pt>
                      </c15:dlblFieldTableCache>
                    </c15:dlblFTEntry>
                  </c15:dlblFieldTable>
                  <c15:showDataLabelsRange val="0"/>
                </c:ext>
                <c:ext xmlns:c16="http://schemas.microsoft.com/office/drawing/2014/chart" uri="{C3380CC4-5D6E-409C-BE32-E72D297353CC}">
                  <c16:uniqueId val="{0000008F-CF34-4389-B765-0425B8F1998E}"/>
                </c:ext>
              </c:extLst>
            </c:dLbl>
            <c:dLbl>
              <c:idx val="11"/>
              <c:tx>
                <c:strRef>
                  <c:f>Pin!$AY$35</c:f>
                  <c:strCache>
                    <c:ptCount val="1"/>
                    <c:pt idx="0">
                      <c:v>-15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{2B6CCBB0-AB95-4A47-A2A1-B4285C07BE42}</c15:txfldGUID>
                      <c15:f>Pin!$AY$35</c15:f>
                      <c15:dlblFieldTableCache>
                        <c:ptCount val="1"/>
                        <c:pt idx="0">
                          <c:v>-15</c:v>
                        </c:pt>
                      </c15:dlblFieldTableCache>
                    </c15:dlblFTEntry>
                  </c15:dlblFieldTable>
                  <c15:showDataLabelsRange val="0"/>
                </c:ext>
                <c:ext xmlns:c16="http://schemas.microsoft.com/office/drawing/2014/chart" uri="{C3380CC4-5D6E-409C-BE32-E72D297353CC}">
                  <c16:uniqueId val="{00000090-CF34-4389-B765-0425B8F1998E}"/>
                </c:ext>
              </c:extLst>
            </c:dLbl>
            <c:dLbl>
              <c:idx val="13"/>
              <c:tx>
                <c:strRef>
                  <c:f>Pin!$AY$37</c:f>
                  <c:strCache>
                    <c:ptCount val="1"/>
                    <c:pt idx="0">
                      <c:v>-18</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{358C9946-37F1-46FD-B7A2-369CE02EFA6F}</c15:txfldGUID>
                      <c15:f>Pin!$AY$37</c15:f>
                      <c15:dlblFieldTableCache>
                        <c:ptCount val="1"/>
                        <c:pt idx="0">
                          <c:v>-18</c:v>
                        </c:pt>
                      </c15:dlblFieldTableCache>
                    </c15:dlblFTEntry>
                  </c15:dlblFieldTable>
                  <c15:showDataLabelsRange val="0"/>
                </c:ext>
                <c:ext xmlns:c16="http://schemas.microsoft.com/office/drawing/2014/chart" uri="{C3380CC4-5D6E-409C-BE32-E72D297353CC}">
                  <c16:uniqueId val="{00000091-CF34-4389-B765-0425B8F1998E}"/>
                </c:ext>
              </c:extLst>
            </c:dLbl>
            <c:dLbl>
              <c:idx val="14"/>
              <c:tx>
                <c:strRef>
                  <c:f>Pin!$AY$38</c:f>
                  <c:strCache>
                    <c:ptCount val="1"/>
                    <c:pt idx="0">
                      <c:v>-3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{C9D250C4-FBD2-4803-807C-FECF17AE5CAB}</c15:txfldGUID>
                      <c15:f>Pin!$AY$38</c15:f>
                      <c15:dlblFieldTableCache>
                        <c:ptCount val="1"/>
                        <c:pt idx="0">
                          <c:v>-3</c:v>
                        </c:pt>
                      </c15:dlblFieldTableCache>
                    </c15:dlblFTEntry>
                  </c15:dlblFieldTable>
                  <c15:showDataLabelsRange val="0"/>
                </c:ext>
                <c:ext xmlns:c16="http://schemas.microsoft.com/office/drawing/2014/chart" uri="{C3380CC4-5D6E-409C-BE32-E72D297353CC}">
                  <c16:uniqueId val="{00000092-CF34-4389-B765-0425B8F1998E}"/>
                </c:ext>
              </c:extLst>
            </c:dLbl>
            <c:dLbl>
              <c:idx val="29"/>
              <c:tx>
                <c:strRef>
                  <c:f>Pin!$AY$53</c:f>
                  <c:strCache>
                    <c:ptCount val="1"/>
                    <c:pt idx="0">
                      <c:v>-15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{122F74F2-F803-4BF4-98A9-996930760CBB}</c15:txfldGUID>
                      <c15:f>Pin!$AY$53</c15:f>
                      <c15:dlblFieldTableCache>
                        <c:ptCount val="1"/>
                        <c:pt idx="0">
                          <c:v>-15</c:v>
                        </c:pt>
                      </c15:dlblFieldTableCache>
                    </c15:dlblFTEntry>
                  </c15:dlblFieldTable>
                  <c15:showDataLabelsRange val="0"/>
                </c:ext>
                <c:ext xmlns:c16="http://schemas.microsoft.com/office/drawing/2014/chart" uri="{C3380CC4-5D6E-409C-BE32-E72D297353CC}">
                  <c16:uniqueId val="{00000093-CF34-4389-B765-0425B8F1998E}"/>
                </c:ext>
              </c:extLst>
            </c:dLbl>
            <c:dLbl>
              <c:idx val="32"/>
              <c:tx>
                <c:strRef>
                  <c:f>Pin!$AY$56</c:f>
                  <c:strCache>
                    <c:ptCount val="1"/>
                    <c:pt idx="0">
                      <c:v>-3</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{B59EF9C5-FA98-43DE-8DB2-F471870EDB52}</c15:txfldGUID>
                      <c15:f>Pin!$AY$56</c15:f>
                      <c15:dlblFieldTableCache>
                        <c:ptCount val="1"/>
                        <c:pt idx="0">
                          <c:v>-3</c:v>
                        </c:pt>
                      </c15:dlblFieldTableCache>
                    </c15:dlblFTEntry>
                  </c15:dlblFieldTable>
                  <c15:showDataLabelsRange val="0"/>
                </c:ext>
                <c:ext xmlns:c16="http://schemas.microsoft.com/office/drawing/2014/chart" uri="{C3380CC4-5D6E-409C-BE32-E72D297353CC}">
                  <c16:uniqueId val="{00000094-CF34-4389-B765-0425B8F1998E}"/>
                </c:ext>
              </c:extLst>
            </c:dLbl>
            <c:dLbl>
              <c:idx val="34"/>
              <c:tx>
                <c:strRef>
                  <c:f>Pin!$AY$58</c:f>
                  <c:strCache>
                    <c:ptCount val="1"/>
                    <c:pt idx="0">
                      <c:v>-6</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{332C83AF-865C-4E0F-9A45-93B5D488CED2}</c15:txfldGUID>
                      <c15:f>Pin!$AY$58</c15:f>
                      <c15:dlblFieldTableCache>
                        <c:ptCount val="1"/>
                        <c:pt idx="0">
                          <c:v>-6</c:v>
                        </c:pt>
                      </c15:dlblFieldTableCache>
                    </c15:dlblFTEntry>
                  </c15:dlblFieldTable>
                  <c15:showDataLabelsRange val="0"/>
                </c:ext>
                <c:ext xmlns:c16="http://schemas.microsoft.com/office/drawing/2014/chart" uri="{C3380CC4-5D6E-409C-BE32-E72D297353CC}">
                  <c16:uniqueId val="{00000095-CF34-4389-B765-0425B8F1998E}"/>
                </c:ext>
              </c:extLst>
            </c:dLbl>
            <c:dLbl>
              <c:idx val="36"/>
              <c:tx>
                <c:strRef>
                  <c:f>Pin!$AY$60</c:f>
                  <c:strCache>
                    <c:ptCount val="1"/>
                    <c:pt idx="0">
                      <c:v>-9</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{54D2653E-8835-4A19-B774-D24B8D3A2026}</c15:txfldGUID>
                      <c15:f>Pin!$AY$60</c15:f>
                      <c15:dlblFieldTableCache>
                        <c:ptCount val="1"/>
                        <c:pt idx="0">
                          <c:v>-9</c:v>
                        </c:pt>
                      </c15:dlblFieldTableCache>
                    </c15:dlblFTEntry>
                  </c15:dlblFieldTable>
                  <c15:showDataLabelsRange val="0"/>
                </c:ext>
                <c:ext xmlns:c16="http://schemas.microsoft.com/office/drawing/2014/chart" uri="{C3380CC4-5D6E-409C-BE32-E72D297353CC}">
                  <c16:uniqueId val="{00000096-CF34-4389-B765-0425B8F1998E}"/>
                </c:ext>
              </c:extLst>
            </c:dLbl>
            <c:dLbl>
              <c:idx val="38"/>
              <c:tx>
                <c:strRef>
                  <c:f>Pin!$AY$62</c:f>
                  <c:strCache>
                    <c:ptCount val="1"/>
                    <c:pt idx="0">
                      <c:v>-12</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{79356489-A429-46AE-8948-CE50287186A6}</c15:txfldGUID>
                      <c15:f>Pin!$AY$62</c15:f>
                      <c15:dlblFieldTableCache>
                        <c:ptCount val="1"/>
                        <c:pt idx="0">
                          <c:v>-12</c:v>
                        </c:pt>
                      </c15:dlblFieldTableCache>
                    </c15:dlblFTEntry>
                  </c15:dlblFieldTable>
                  <c15:showDataLabelsRange val="0"/>
                </c:ext>
                <c:ext xmlns:c16="http://schemas.microsoft.com/office/drawing/2014/chart" uri="{C3380CC4-5D6E-409C-BE32-E72D297353CC}">
                  <c16:uniqueId val="{00000097-CF34-4389-B765-0425B8F1998E}"/>
                </c:ext>
              </c:extLst>
            </c:dLbl>
            <c:dLbl>
              <c:idx val="40"/>
              <c:tx>
                <c:strRef>
                  <c:f>Pin!$AY$64</c:f>
                  <c:strCache>
                    <c:ptCount val="1"/>
                    <c:pt idx="0">
                      <c:v>-15</c:v>
                    </c:pt>
                  </c:strCache>
                </c:strRef>
              </c:tx>
              <c:spPr>
                <a:noFill/>
                <a:ln>
                  <a:noFill/>
                </a:ln>
                <a:effectLst/>
              </c:spPr>
              <c:txPr>
                <a:bodyPr wrap="square" lIns="38100" tIns="19050" rIns="38100" bIns="19050" anchor="ctr">
                  <a:spAutoFit/>
                </a:bodyPr>
                <a:lstStyle/>
                <a:p>
                  <a:pPr>
                    <a:defRPr sz="700">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{0FAD4349-5796-4B35-B10D-0F21711DC5CD}</c15:txfldGUID>
                      <c15:f>Pin!$AY$64</c15:f>
                      <c15:dlblFieldTableCache>
                        <c:ptCount val="1"/>
                        <c:pt idx="0">
                          <c:v>-15</c:v>
                        </c:pt>
                      </c15:dlblFieldTableCache>
                    </c15:dlblFTEntry>
                  </c15:dlblFieldTable>
                  <c15:showDataLabelsRange val="0"/>
                </c:ext>
                <c:ext xmlns:c16="http://schemas.microsoft.com/office/drawing/2014/chart" uri="{C3380CC4-5D6E-409C-BE32-E72D297353CC}">
                  <c16:uniqueId val="{00000098-CF34-4389-B765-0425B8F199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errBars>
            <c:errDir val="y"/>
            <c:errBarType val="plus"/>
            <c:errValType val="cust"/>
            <c:noEndCap val="1"/>
            <c:plus>
              <c:numRef>
                <c:f>Pin!$AP$24:$AP$64</c:f>
                <c:numCache>
                  <c:formatCode>General</c:formatCode>
                  <c:ptCount val="41"/>
                  <c:pt idx="0">
                    <c:v>0</c:v>
                  </c:pt>
                  <c:pt idx="1">
                    <c:v>0</c:v>
                  </c:pt>
                  <c:pt idx="2">
                    <c:v>0</c:v>
                  </c:pt>
                  <c:pt idx="3">
                    <c:v>3.4166666666666665E-2</c:v>
                  </c:pt>
                  <c:pt idx="4">
                    <c:v>0</c:v>
                  </c:pt>
                  <c:pt idx="5">
                    <c:v>7.5166666666666659E-2</c:v>
                  </c:pt>
                  <c:pt idx="6">
                    <c:v>0</c:v>
                  </c:pt>
                  <c:pt idx="7">
                    <c:v>0.11616666666666665</c:v>
                  </c:pt>
                  <c:pt idx="8">
                    <c:v>0</c:v>
                  </c:pt>
                  <c:pt idx="9">
                    <c:v>0.15716666666666668</c:v>
                  </c:pt>
                  <c:pt idx="10">
                    <c:v>0</c:v>
                  </c:pt>
                  <c:pt idx="11">
                    <c:v>0.19816666666666666</c:v>
                  </c:pt>
                  <c:pt idx="12">
                    <c:v>0</c:v>
                  </c:pt>
                  <c:pt idx="13">
                    <c:v>0.23916666666666667</c:v>
                  </c:pt>
                  <c:pt idx="14">
                    <c:v>3.4166666666666665E-2</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0.20499999999999999</c:v>
                  </c:pt>
                  <c:pt idx="30">
                    <c:v>0</c:v>
                  </c:pt>
                  <c:pt idx="31">
                    <c:v>0</c:v>
                  </c:pt>
                  <c:pt idx="32">
                    <c:v>4.1000000000000002E-2</c:v>
                  </c:pt>
                  <c:pt idx="33">
                    <c:v>0</c:v>
                  </c:pt>
                  <c:pt idx="34">
                    <c:v>8.2000000000000003E-2</c:v>
                  </c:pt>
                  <c:pt idx="35">
                    <c:v>0</c:v>
                  </c:pt>
                  <c:pt idx="36">
                    <c:v>0.12299999999999998</c:v>
                  </c:pt>
                  <c:pt idx="37">
                    <c:v>0</c:v>
                  </c:pt>
                  <c:pt idx="38">
                    <c:v>0.16400000000000001</c:v>
                  </c:pt>
                  <c:pt idx="39">
                    <c:v>0</c:v>
                  </c:pt>
                  <c:pt idx="40">
                    <c:v>0.20499999999999999</c:v>
                  </c:pt>
                </c:numCache>
              </c:numRef>
            </c:plus>
            <c:spPr>
              <a:ln w="19050">
                <a:solidFill>
                  <a:srgbClr val="C00000"/>
                </a:solidFill>
              </a:ln>
            </c:spPr>
          </c:errBars>
          <c:cat>
            <c:strRef>
              <c:f>Pin!$Y$24:$Y$64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Pin!$AG$24:$AG$64</c:f>
              <c:numCache>
                <c:formatCode>General</c:formatCode>
                <c:ptCount val="41"/>
                <c:pt idx="0">
                  <c:v>#N/A</c:v>
                </c:pt>
                <c:pt idx="1">
                  <c:v>#N/A</c:v>
                </c:pt>
                <c:pt idx="2">
                  <c:v>#N/A</c:v>
                </c:pt>
                <c:pt idx="3">
                  <c:v>3.3758333333333335</c:v>
                </c:pt>
                <c:pt idx="4">
                  <c:v>#N/A</c:v>
                </c:pt>
                <c:pt idx="5">
                  <c:v>3.3348333333333331</c:v>
                </c:pt>
                <c:pt idx="6">
                  <c:v>#N/A</c:v>
                </c:pt>
                <c:pt idx="7">
                  <c:v>3.2938333333333332</c:v>
                </c:pt>
                <c:pt idx="8">
                  <c:v>#N/A</c:v>
                </c:pt>
                <c:pt idx="9">
                  <c:v>3.2528333333333332</c:v>
                </c:pt>
                <c:pt idx="10">
                  <c:v>#N/A</c:v>
                </c:pt>
                <c:pt idx="11">
                  <c:v>3.2118333333333333</c:v>
                </c:pt>
                <c:pt idx="12">
                  <c:v>#N/A</c:v>
                </c:pt>
                <c:pt idx="13">
                  <c:v>3.1708333333333334</c:v>
                </c:pt>
                <c:pt idx="14">
                  <c:v>3.3758333333333335</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3.2050000000000001</c:v>
                </c:pt>
                <c:pt idx="30">
                  <c:v>#N/A</c:v>
                </c:pt>
                <c:pt idx="31">
                  <c:v>#N/A</c:v>
                </c:pt>
                <c:pt idx="32">
                  <c:v>3.3689999999999998</c:v>
                </c:pt>
                <c:pt idx="33">
                  <c:v>#N/A</c:v>
                </c:pt>
                <c:pt idx="34">
                  <c:v>3.3279999999999998</c:v>
                </c:pt>
                <c:pt idx="35">
                  <c:v>#N/A</c:v>
                </c:pt>
                <c:pt idx="36">
                  <c:v>3.2869999999999999</c:v>
                </c:pt>
                <c:pt idx="37">
                  <c:v>#N/A</c:v>
                </c:pt>
                <c:pt idx="38">
                  <c:v>3.246</c:v>
                </c:pt>
                <c:pt idx="39">
                  <c:v>#N/A</c:v>
                </c:pt>
                <c:pt idx="40">
                  <c:v>3.2050000000000001</c:v>
                </c:pt>
              </c:numCache>
            </c:numRef>
          </c:val>
          <c:smooth val="0"/>
          <c:extLst>
            <c:ext xmlns:c16="http://schemas.microsoft.com/office/drawing/2014/chart" uri="{C3380CC4-5D6E-409C-BE32-E72D297353CC}">
              <c16:uniqueId val="{0000008B-CF34-4389-B765-0425B8F1998E}"/>
            </c:ext>
          </c:extLst>
        </c:ser>
        <c:dLbls>
          <c:showLegendKey val="0"/>
          <c:showVal val="0"/>
          <c:showCatName val="0"/>
          <c:showSerName val="0"/>
          <c:showPercent val="0"/>
          <c:showBubbleSize val="0"/>
        </c:dLbls>
        <c:marker val="1"/>
        <c:smooth val="0"/>
        <c:axId val="467533615"/>
        <c:axId val="1904809743"/>
      </c:lineChart>
      <c:scatterChart>
        <c:scatterStyle val="lineMarker"/>
        <c:varyColors val="0"/>
        <c:ser>
          <c:idx val="8"/>
          <c:order val="8"/>
          <c:tx>
            <c:v>divider</c:v>
          </c:tx>
          <c:spPr>
            <a:ln w="9525">
              <a:solidFill>
                <a:srgbClr val="BFBFBF"/>
              </a:solidFill>
            </a:ln>
          </c:spPr>
          <c:marker>
            <c:symbol val="none"/>
          </c:marker>
          <c:xVal>
            <c:numRef>
              <c:f>Pin!$BA$24:$BA$29</c:f>
              <c:numCache>
                <c:formatCode>General</c:formatCode>
                <c:ptCount val="6"/>
                <c:pt idx="0">
                  <c:v>16</c:v>
                </c:pt>
                <c:pt idx="1">
                  <c:v>16</c:v>
                </c:pt>
                <c:pt idx="2">
                  <c:v>16</c:v>
                </c:pt>
                <c:pt idx="3">
                  <c:v>29</c:v>
                </c:pt>
                <c:pt idx="4">
                  <c:v>29</c:v>
                </c:pt>
                <c:pt idx="5">
                  <c:v>29</c:v>
                </c:pt>
              </c:numCache>
            </c:numRef>
          </c:xVal>
          <c:yVal>
            <c:numRef>
              <c:f>Pin!$BB$24:$BB$29</c:f>
              <c:numCache>
                <c:formatCode>General</c:formatCode>
                <c:ptCount val="6"/>
                <c:pt idx="0">
                  <c:v>0</c:v>
                </c:pt>
                <c:pt idx="1">
                  <c:v>4</c:v>
                </c:pt>
                <c:pt idx="2">
                  <c:v>#N/A</c:v>
                </c:pt>
                <c:pt idx="3">
                  <c:v>0</c:v>
                </c:pt>
                <c:pt idx="4">
                  <c:v>4</c:v>
                </c:pt>
                <c:pt idx="5">
                  <c:v>#N/A</c:v>
                </c:pt>
              </c:numCache>
            </c:numRef>
          </c:yVal>
          <c:smooth val="0"/>
          <c:extLst>
            <c:ext xmlns:c16="http://schemas.microsoft.com/office/drawing/2014/chart" uri="{C3380CC4-5D6E-409C-BE32-E72D297353CC}">
              <c16:uniqueId val="{00000099-CF34-4389-B765-0425B8F1998E}"/>
            </c:ext>
          </c:extLst>
        </c:ser>
        <c:ser>
          <c:idx val="9"/>
          <c:order val="9"/>
          <c:tx>
            <c:v>bandrule</c:v>
          </c:tx>
          <c:spPr>
            <a:ln w="9525">
              <a:solidFill>
                <a:srgbClr val="BFBFBF"/>
              </a:solidFill>
            </a:ln>
          </c:spPr>
          <c:marker>
            <c:symbol val="none"/>
          </c:marker>
          <c:xVal>
            <c:numRef>
              <c:f>Pin!$BD$24:$BD$32</c:f>
              <c:numCache>
                <c:formatCode>General</c:formatCode>
                <c:ptCount val="9"/>
                <c:pt idx="0">
                  <c:v>0.5</c:v>
                </c:pt>
                <c:pt idx="1">
                  <c:v>41.5</c:v>
                </c:pt>
                <c:pt idx="2">
                  <c:v>41.5</c:v>
                </c:pt>
                <c:pt idx="3">
                  <c:v>0.5</c:v>
                </c:pt>
                <c:pt idx="4">
                  <c:v>41.5</c:v>
                </c:pt>
                <c:pt idx="5">
                  <c:v>41.5</c:v>
                </c:pt>
                <c:pt idx="6">
                  <c:v>0.5</c:v>
                </c:pt>
                <c:pt idx="7">
                  <c:v>41.5</c:v>
                </c:pt>
                <c:pt idx="8">
                  <c:v>41.5</c:v>
                </c:pt>
              </c:numCache>
            </c:numRef>
          </c:xVal>
          <c:yVal>
            <c:numRef>
              <c:f>Pin!$BE$24:$BE$32</c:f>
              <c:numCache>
                <c:formatCode>General</c:formatCode>
                <c:ptCount val="9"/>
                <c:pt idx="0">
                  <c:v>0.90999999999999992</c:v>
                </c:pt>
                <c:pt idx="1">
                  <c:v>0.90999999999999992</c:v>
                </c:pt>
                <c:pt idx="2">
                  <c:v>#N/A</c:v>
                </c:pt>
                <c:pt idx="3">
                  <c:v>1.91</c:v>
                </c:pt>
                <c:pt idx="4">
                  <c:v>1.91</c:v>
                </c:pt>
                <c:pt idx="5">
                  <c:v>#N/A</c:v>
                </c:pt>
                <c:pt idx="6">
                  <c:v>2.91</c:v>
                </c:pt>
                <c:pt idx="7">
                  <c:v>2.91</c:v>
                </c:pt>
                <c:pt idx="8">
                  <c:v>#N/A</c:v>
                </c:pt>
              </c:numCache>
            </c:numRef>
          </c:yVal>
          <c:smooth val="0"/>
          <c:extLst>
            <c:ext xmlns:c16="http://schemas.microsoft.com/office/drawing/2014/chart" uri="{C3380CC4-5D6E-409C-BE32-E72D297353CC}">
              <c16:uniqueId val="{0000009A-CF34-4389-B765-0425B8F1998E}"/>
            </c:ext>
          </c:extLst>
        </c:ser>
        <c:ser>
          <c:idx val="10"/>
          <c:order val="10"/>
          <c:tx>
            <c:v>baseline</c:v>
          </c:tx>
          <c:spPr>
            <a:ln w="9525">
              <a:solidFill>
                <a:srgbClr val="808080"/>
              </a:solidFill>
            </a:ln>
          </c:spPr>
          <c:marker>
            <c:symbol val="none"/>
          </c:marker>
          <c:xVal>
            <c:numRef>
              <c:f>Pin!$BG$24:$BG$59</c:f>
              <c:numCache>
                <c:formatCode>General</c:formatCode>
                <c:ptCount val="36"/>
                <c:pt idx="0">
                  <c:v>3.5</c:v>
                </c:pt>
                <c:pt idx="1">
                  <c:v>15.5</c:v>
                </c:pt>
                <c:pt idx="2">
                  <c:v>15.5</c:v>
                </c:pt>
                <c:pt idx="3">
                  <c:v>16.5</c:v>
                </c:pt>
                <c:pt idx="4">
                  <c:v>28.5</c:v>
                </c:pt>
                <c:pt idx="5">
                  <c:v>28.5</c:v>
                </c:pt>
                <c:pt idx="6">
                  <c:v>29.5</c:v>
                </c:pt>
                <c:pt idx="7">
                  <c:v>41.5</c:v>
                </c:pt>
                <c:pt idx="8">
                  <c:v>41.5</c:v>
                </c:pt>
                <c:pt idx="9">
                  <c:v>3.5</c:v>
                </c:pt>
                <c:pt idx="10">
                  <c:v>15.5</c:v>
                </c:pt>
                <c:pt idx="11">
                  <c:v>15.5</c:v>
                </c:pt>
                <c:pt idx="12">
                  <c:v>16.5</c:v>
                </c:pt>
                <c:pt idx="13">
                  <c:v>28.5</c:v>
                </c:pt>
                <c:pt idx="14">
                  <c:v>28.5</c:v>
                </c:pt>
                <c:pt idx="15">
                  <c:v>29.5</c:v>
                </c:pt>
                <c:pt idx="16">
                  <c:v>41.5</c:v>
                </c:pt>
                <c:pt idx="17">
                  <c:v>41.5</c:v>
                </c:pt>
                <c:pt idx="18">
                  <c:v>3.5</c:v>
                </c:pt>
                <c:pt idx="19">
                  <c:v>15.5</c:v>
                </c:pt>
                <c:pt idx="20">
                  <c:v>15.5</c:v>
                </c:pt>
                <c:pt idx="21">
                  <c:v>16.5</c:v>
                </c:pt>
                <c:pt idx="22">
                  <c:v>28.5</c:v>
                </c:pt>
                <c:pt idx="23">
                  <c:v>28.5</c:v>
                </c:pt>
                <c:pt idx="24">
                  <c:v>29.5</c:v>
                </c:pt>
                <c:pt idx="25">
                  <c:v>41.5</c:v>
                </c:pt>
                <c:pt idx="26">
                  <c:v>41.5</c:v>
                </c:pt>
                <c:pt idx="27">
                  <c:v>3.5</c:v>
                </c:pt>
                <c:pt idx="28">
                  <c:v>15.5</c:v>
                </c:pt>
                <c:pt idx="29">
                  <c:v>15.5</c:v>
                </c:pt>
                <c:pt idx="30">
                  <c:v>16.5</c:v>
                </c:pt>
                <c:pt idx="31">
                  <c:v>28.5</c:v>
                </c:pt>
                <c:pt idx="32">
                  <c:v>28.5</c:v>
                </c:pt>
                <c:pt idx="33">
                  <c:v>29.5</c:v>
                </c:pt>
                <c:pt idx="34">
                  <c:v>41.5</c:v>
                </c:pt>
                <c:pt idx="35">
                  <c:v>41.5</c:v>
                </c:pt>
              </c:numCache>
            </c:numRef>
          </c:xVal>
          <c:yVal>
            <c:numRef>
              <c:f>Pin!$BH$24:$BH$59</c:f>
              <c:numCache>
                <c:formatCode>General</c:formatCode>
                <c:ptCount val="36"/>
                <c:pt idx="0">
                  <c:v>0.41</c:v>
                </c:pt>
                <c:pt idx="1">
                  <c:v>0.41</c:v>
                </c:pt>
                <c:pt idx="2">
                  <c:v>#N/A</c:v>
                </c:pt>
                <c:pt idx="3">
                  <c:v>0.41</c:v>
                </c:pt>
                <c:pt idx="4">
                  <c:v>0.41</c:v>
                </c:pt>
                <c:pt idx="5">
                  <c:v>#N/A</c:v>
                </c:pt>
                <c:pt idx="6">
                  <c:v>0.41</c:v>
                </c:pt>
                <c:pt idx="7">
                  <c:v>0.41</c:v>
                </c:pt>
                <c:pt idx="8">
                  <c:v>#N/A</c:v>
                </c:pt>
                <c:pt idx="9">
                  <c:v>1.41</c:v>
                </c:pt>
                <c:pt idx="10">
                  <c:v>1.41</c:v>
                </c:pt>
                <c:pt idx="11">
                  <c:v>#N/A</c:v>
                </c:pt>
                <c:pt idx="12">
                  <c:v>1.41</c:v>
                </c:pt>
                <c:pt idx="13">
                  <c:v>1.41</c:v>
                </c:pt>
                <c:pt idx="14">
                  <c:v>#N/A</c:v>
                </c:pt>
                <c:pt idx="15">
                  <c:v>1.41</c:v>
                </c:pt>
                <c:pt idx="16">
                  <c:v>1.41</c:v>
                </c:pt>
                <c:pt idx="17">
                  <c:v>#N/A</c:v>
                </c:pt>
                <c:pt idx="18">
                  <c:v>2.41</c:v>
                </c:pt>
                <c:pt idx="19">
                  <c:v>2.41</c:v>
                </c:pt>
                <c:pt idx="20">
                  <c:v>#N/A</c:v>
                </c:pt>
                <c:pt idx="21">
                  <c:v>2.41</c:v>
                </c:pt>
                <c:pt idx="22">
                  <c:v>2.41</c:v>
                </c:pt>
                <c:pt idx="23">
                  <c:v>#N/A</c:v>
                </c:pt>
                <c:pt idx="24">
                  <c:v>2.41</c:v>
                </c:pt>
                <c:pt idx="25">
                  <c:v>2.41</c:v>
                </c:pt>
                <c:pt idx="26">
                  <c:v>#N/A</c:v>
                </c:pt>
                <c:pt idx="27">
                  <c:v>3.41</c:v>
                </c:pt>
                <c:pt idx="28">
                  <c:v>3.41</c:v>
                </c:pt>
                <c:pt idx="29">
                  <c:v>#N/A</c:v>
                </c:pt>
                <c:pt idx="30">
                  <c:v>3.41</c:v>
                </c:pt>
                <c:pt idx="31">
                  <c:v>3.41</c:v>
                </c:pt>
                <c:pt idx="32">
                  <c:v>#N/A</c:v>
                </c:pt>
                <c:pt idx="33">
                  <c:v>3.41</c:v>
                </c:pt>
                <c:pt idx="34">
                  <c:v>3.41</c:v>
                </c:pt>
                <c:pt idx="35">
                  <c:v>#N/A</c:v>
                </c:pt>
              </c:numCache>
            </c:numRef>
          </c:yVal>
          <c:smooth val="0"/>
          <c:extLst>
            <c:ext xmlns:c16="http://schemas.microsoft.com/office/drawing/2014/chart" uri="{C3380CC4-5D6E-409C-BE32-E72D297353CC}">
              <c16:uniqueId val="{0000009B-CF34-4389-B765-0425B8F1998E}"/>
            </c:ext>
          </c:extLst>
        </c:ser>
        <c:ser>
          <c:idx val="11"/>
          <c:order val="11"/>
          <c:tx>
            <c:v>ptitle</c:v>
          </c:tx>
          <c:spPr>
            <a:ln w="38100">
              <a:noFill/>
            </a:ln>
          </c:spPr>
          <c:marker>
            <c:symbol val="none"/>
          </c:marker>
          <c:dLbls>
            <c:dLbl>
              <c:idx val="0"/>
              <c:tx>
                <c:strRef>
                  <c:f>Pin!$BL$24</c:f>
                  <c:strCache>
                    <c:ptCount val="1"/>
                    <c:pt idx="0">
                      <c:v>Business partner 01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{770A02C9-333F-4CF0-B79D-6757D2760B8C}</c15:txfldGUID>
                      <c15:f>Pin!$BL$24</c15:f>
                      <c15:dlblFieldTableCache>
                        <c:ptCount val="1"/>
                        <c:pt idx="0">
                          <c:v>Business partner 01</c:v>
                        </c:pt>
                      </c15:dlblFieldTableCache>
                    </c15:dlblFTEntry>
                  </c15:dlblFieldTable>
                  <c15:showDataLabelsRange val="0"/>
                </c:ext>
                <c:ext xmlns:c16="http://schemas.microsoft.com/office/drawing/2014/chart" uri="{C3380CC4-5D6E-409C-BE32-E72D297353CC}">
                  <c16:uniqueId val="{0000009E-CF34-4389-B765-0425B8F1998E}"/>
                </c:ext>
              </c:extLst>
            </c:dLbl>
            <c:dLbl>
              <c:idx val="1"/>
              <c:tx>
                <c:strRef>
                  <c:f>Pin!$BL$25</c:f>
                  <c:strCache>
                    <c:ptCount val="1"/>
                    <c:pt idx="0">
                      <c:v>Business partner 02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{ACABE01E-DEEA-499E-A48D-85AB61A75779}</c15:txfldGUID>
                      <c15:f>Pin!$BL$25</c15:f>
                      <c15:dlblFieldTableCache>
                        <c:ptCount val="1"/>
                        <c:pt idx="0">
                          <c:v>Business partner 02</c:v>
                        </c:pt>
                      </c15:dlblFieldTableCache>
                    </c15:dlblFTEntry>
                  </c15:dlblFieldTable>
                  <c15:showDataLabelsRange val="0"/>
                </c:ext>
                <c:ext xmlns:c16="http://schemas.microsoft.com/office/drawing/2014/chart" uri="{C3380CC4-5D6E-409C-BE32-E72D297353CC}">
                  <c16:uniqueId val="{0000009F-CF34-4389-B765-0425B8F1998E}"/>
                </c:ext>
              </c:extLst>
            </c:dLbl>
            <c:dLbl>
              <c:idx val="2"/>
              <c:tx>
                <c:strRef>
                  <c:f>Pin!$BL$26</c:f>
                  <c:strCache>
                    <c:ptCount val="1"/>
                    <c:pt idx="0">
                      <c:v>Business partner 03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{FCD2D3B1-48AD-46EE-B980-8D241190D8A6}</c15:txfldGUID>
                      <c15:f>Pin!$BL$26</c15:f>
                      <c15:dlblFieldTableCache>
                        <c:ptCount val="1"/>
                        <c:pt idx="0">
                          <c:v>Business partner 03</c:v>
                        </c:pt>
                      </c15:dlblFieldTableCache>
                    </c15:dlblFTEntry>
                  </c15:dlblFieldTable>
                  <c15:showDataLabelsRange val="0"/>
                </c:ext>
                <c:ext xmlns:c16="http://schemas.microsoft.com/office/drawing/2014/chart" uri="{C3380CC4-5D6E-409C-BE32-E72D297353CC}">
                  <c16:uniqueId val="{000000A0-CF34-4389-B765-0425B8F1998E}"/>
                </c:ext>
              </c:extLst>
            </c:dLbl>
            <c:dLbl>
              <c:idx val="3"/>
              <c:tx>
                <c:strRef>
                  <c:f>Pin!$BL$27</c:f>
                  <c:strCache>
                    <c:ptCount val="1"/>
                    <c:pt idx="0">
                      <c:v>Business partner 04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{4E86A2B1-72C3-4D02-9D0C-7BF30BC56A02}</c15:txfldGUID>
                      <c15:f>Pin!$BL$27</c15:f>
                      <c15:dlblFieldTableCache>
                        <c:ptCount val="1"/>
                        <c:pt idx="0">
                          <c:v>Business partner 04</c:v>
                        </c:pt>
                      </c15:dlblFieldTableCache>
                    </c15:dlblFTEntry>
                  </c15:dlblFieldTable>
                  <c15:showDataLabelsRange val="0"/>
                </c:ext>
                <c:ext xmlns:c16="http://schemas.microsoft.com/office/drawing/2014/chart" uri="{C3380CC4-5D6E-409C-BE32-E72D297353CC}">
                  <c16:uniqueId val="{000000A1-CF34-4389-B765-0425B8F1998E}"/>
                </c:ext>
              </c:extLst>
            </c:dLbl>
            <c:dLbl>
              <c:idx val="4"/>
              <c:tx>
                <c:strRef>
                  <c:f>Pin!$BL$28</c:f>
                  <c:strCache>
                    <c:ptCount val="1"/>
                    <c:pt idx="0">
                      <c:v>Business partner 05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{6274BC60-8E5F-4FCF-99D0-B0FE6F3D2C04}</c15:txfldGUID>
                      <c15:f>Pin!$BL$28</c15:f>
                      <c15:dlblFieldTableCache>
                        <c:ptCount val="1"/>
                        <c:pt idx="0">
                          <c:v>Business partner 05</c:v>
                        </c:pt>
                      </c15:dlblFieldTableCache>
                    </c15:dlblFTEntry>
                  </c15:dlblFieldTable>
                  <c15:showDataLabelsRange val="0"/>
                </c:ext>
                <c:ext xmlns:c16="http://schemas.microsoft.com/office/drawing/2014/chart" uri="{C3380CC4-5D6E-409C-BE32-E72D297353CC}">
                  <c16:uniqueId val="{000000A2-CF34-4389-B765-0425B8F1998E}"/>
                </c:ext>
              </c:extLst>
            </c:dLbl>
            <c:dLbl>
              <c:idx val="5"/>
              <c:tx>
                <c:strRef>
                  <c:f>Pin!$BL$29</c:f>
                  <c:strCache>
                    <c:ptCount val="1"/>
                    <c:pt idx="0">
                      <c:v>Business partner 06</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{866D3473-0235-40C1-A900-1C060C603CA8}</c15:txfldGUID>
                      <c15:f>Pin!$BL$29</c15:f>
                      <c15:dlblFieldTableCache>
                        <c:ptCount val="1"/>
                        <c:pt idx="0">
                          <c:v>Business partner 06</c:v>
                        </c:pt>
                      </c15:dlblFieldTableCache>
                    </c15:dlblFTEntry>
                  </c15:dlblFieldTable>
                  <c15:showDataLabelsRange val="0"/>
                </c:ext>
                <c:ext xmlns:c16="http://schemas.microsoft.com/office/drawing/2014/chart" uri="{C3380CC4-5D6E-409C-BE32-E72D297353CC}">
                  <c16:uniqueId val="{000000A3-CF34-4389-B765-0425B8F1998E}"/>
                </c:ext>
              </c:extLst>
            </c:dLbl>
            <c:dLbl>
              <c:idx val="6"/>
              <c:tx>
                <c:strRef>
                  <c:f>Pin!$BL$30</c:f>
                  <c:strCache>
                    <c:ptCount val="1"/>
                    <c:pt idx="0">
                      <c:v>Business partner 07</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{63C810EF-CC3C-45A9-92FE-220129E99507}</c15:txfldGUID>
                      <c15:f>Pin!$BL$30</c15:f>
                      <c15:dlblFieldTableCache>
                        <c:ptCount val="1"/>
                        <c:pt idx="0">
                          <c:v>Business partner 07</c:v>
                        </c:pt>
                      </c15:dlblFieldTableCache>
                    </c15:dlblFTEntry>
                  </c15:dlblFieldTable>
                  <c15:showDataLabelsRange val="0"/>
                </c:ext>
                <c:ext xmlns:c16="http://schemas.microsoft.com/office/drawing/2014/chart" uri="{C3380CC4-5D6E-409C-BE32-E72D297353CC}">
                  <c16:uniqueId val="{000000A4-CF34-4389-B765-0425B8F1998E}"/>
                </c:ext>
              </c:extLst>
            </c:dLbl>
            <c:dLbl>
              <c:idx val="7"/>
              <c:tx>
                <c:strRef>
                  <c:f>Pin!$BL$31</c:f>
                  <c:strCache>
                    <c:ptCount val="1"/>
                    <c:pt idx="0">
                      <c:v>Business partner 08</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{5B714B0E-5907-4576-8014-80E2D6C9B5B1}</c15:txfldGUID>
                      <c15:f>Pin!$BL$31</c15:f>
                      <c15:dlblFieldTableCache>
                        <c:ptCount val="1"/>
                        <c:pt idx="0">
                          <c:v>Business partner 08</c:v>
                        </c:pt>
                      </c15:dlblFieldTableCache>
                    </c15:dlblFTEntry>
                  </c15:dlblFieldTable>
                  <c15:showDataLabelsRange val="0"/>
                </c:ext>
                <c:ext xmlns:c16="http://schemas.microsoft.com/office/drawing/2014/chart" uri="{C3380CC4-5D6E-409C-BE32-E72D297353CC}">
                  <c16:uniqueId val="{000000A5-CF34-4389-B765-0425B8F1998E}"/>
                </c:ext>
              </c:extLst>
            </c:dLbl>
            <c:dLbl>
              <c:idx val="8"/>
              <c:tx>
                <c:strRef>
                  <c:f>Pin!$BL$32</c:f>
                  <c:strCache>
                    <c:ptCount val="1"/>
                    <c:pt idx="0">
                      <c:v>Business partner 09</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{9FC34793-BBB7-4AF5-8EBA-C280AB34894C}</c15:txfldGUID>
                      <c15:f>Pin!$BL$32</c15:f>
                      <c15:dlblFieldTableCache>
                        <c:ptCount val="1"/>
                        <c:pt idx="0">
                          <c:v>Business partner 09</c:v>
                        </c:pt>
                      </c15:dlblFieldTableCache>
                    </c15:dlblFTEntry>
                  </c15:dlblFieldTable>
                  <c15:showDataLabelsRange val="0"/>
                </c:ext>
                <c:ext xmlns:c16="http://schemas.microsoft.com/office/drawing/2014/chart" uri="{C3380CC4-5D6E-409C-BE32-E72D297353CC}">
                  <c16:uniqueId val="{000000A6-CF34-4389-B765-0425B8F1998E}"/>
                </c:ext>
              </c:extLst>
            </c:dLbl>
            <c:dLbl>
              <c:idx val="9"/>
              <c:tx>
                <c:strRef>
                  <c:f>Pin!$BL$33</c:f>
                  <c:strCache>
                    <c:ptCount val="1"/>
                    <c:pt idx="0">
                      <c:v>Business partner 10</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{213E96BE-5762-42D7-A336-DFB2F3E4F9FA}</c15:txfldGUID>
                      <c15:f>Pin!$BL$33</c15:f>
                      <c15:dlblFieldTableCache>
                        <c:ptCount val="1"/>
                        <c:pt idx="0">
                          <c:v>Business partner 10</c:v>
                        </c:pt>
                      </c15:dlblFieldTableCache>
                    </c15:dlblFTEntry>
                  </c15:dlblFieldTable>
                  <c15:showDataLabelsRange val="0"/>
                </c:ext>
                <c:ext xmlns:c16="http://schemas.microsoft.com/office/drawing/2014/chart" uri="{C3380CC4-5D6E-409C-BE32-E72D297353CC}">
                  <c16:uniqueId val="{000000A7-CF34-4389-B765-0425B8F1998E}"/>
                </c:ext>
              </c:extLst>
            </c:dLbl>
            <c:dLbl>
              <c:idx val="10"/>
              <c:tx>
                <c:strRef>
                  <c:f>Pin!$BL$34</c:f>
                  <c:strCache>
                    <c:ptCount val="1"/>
                    <c:pt idx="0">
                      <c:v>Business partner 11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{CE6CEFAE-CF71-45A6-AE75-B611F85D6783}</c15:txfldGUID>
                      <c15:f>Pin!$BL$34</c15:f>
                      <c15:dlblFieldTableCache>
                        <c:ptCount val="1"/>
                        <c:pt idx="0">
                          <c:v>Business partner 11</c:v>
                        </c:pt>
                      </c15:dlblFieldTableCache>
                    </c15:dlblFTEntry>
                  </c15:dlblFieldTable>
                  <c15:showDataLabelsRange val="0"/>
                </c:ext>
                <c:ext xmlns:c16="http://schemas.microsoft.com/office/drawing/2014/chart" uri="{C3380CC4-5D6E-409C-BE32-E72D297353CC}">
                  <c16:uniqueId val="{000000A8-CF34-4389-B765-0425B8F1998E}"/>
                </c:ext>
              </c:extLst>
            </c:dLbl>
            <c:dLbl>
              <c:idx val="11"/>
              <c:tx>
                <c:strRef>
                  <c:f>Pin!$BL$35</c:f>
                  <c:strCache>
                    <c:ptCount val="1"/>
                    <c:pt idx="0">
                      <c:v>Business partner 12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{DAF85D6E-E585-41D9-9E6D-E646EDC42E40}</c15:txfldGUID>
                      <c15:f>Pin!$BL$35</c15:f>
                      <c15:dlblFieldTableCache>
                        <c:ptCount val="1"/>
                        <c:pt idx="0">
                          <c:v>Business partner 12</c:v>
                        </c:pt>
                      </c15:dlblFieldTableCache>
                    </c15:dlblFTEntry>
                  </c15:dlblFieldTable>
                  <c15:showDataLabelsRange val="0"/>
                </c:ext>
                <c:ext xmlns:c16="http://schemas.microsoft.com/office/drawing/2014/chart" uri="{C3380CC4-5D6E-409C-BE32-E72D297353CC}">
                  <c16:uniqueId val="{000000A9-CF34-4389-B765-0425B8F1998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Pin!$BJ$24:$BJ$35</c:f>
              <c:numCache>
                <c:formatCode>General</c:formatCode>
                <c:ptCount val="12"/>
                <c:pt idx="0">
                  <c:v>4</c:v>
                </c:pt>
                <c:pt idx="1">
                  <c:v>17</c:v>
                </c:pt>
                <c:pt idx="2">
                  <c:v>30</c:v>
                </c:pt>
                <c:pt idx="3">
                  <c:v>4</c:v>
                </c:pt>
                <c:pt idx="4">
                  <c:v>17</c:v>
                </c:pt>
                <c:pt idx="5">
                  <c:v>30</c:v>
                </c:pt>
                <c:pt idx="6">
                  <c:v>4</c:v>
                </c:pt>
                <c:pt idx="7">
                  <c:v>17</c:v>
                </c:pt>
                <c:pt idx="8">
                  <c:v>30</c:v>
                </c:pt>
                <c:pt idx="9">
                  <c:v>4</c:v>
                </c:pt>
                <c:pt idx="10">
                  <c:v>17</c:v>
                </c:pt>
                <c:pt idx="11">
                  <c:v>30</c:v>
                </c:pt>
              </c:numCache>
            </c:numRef>
          </c:xVal>
          <c:yVal>
            <c:numRef>
              <c:f>Pin!$BK$24:$BK$35</c:f>
              <c:numCache>
                <c:formatCode>General</c:formatCode>
                <c:ptCount val="12"/>
                <c:pt idx="0">
                  <c:v>3.8499999999999996</c:v>
                </c:pt>
                <c:pt idx="1">
                  <c:v>3.8499999999999996</c:v>
                </c:pt>
                <c:pt idx="2">
                  <c:v>3.8499999999999996</c:v>
                </c:pt>
                <c:pt idx="3">
                  <c:v>2.8499999999999996</c:v>
                </c:pt>
                <c:pt idx="4">
                  <c:v>2.8499999999999996</c:v>
                </c:pt>
                <c:pt idx="5">
                  <c:v>2.8499999999999996</c:v>
                </c:pt>
                <c:pt idx="6">
                  <c:v>1.8499999999999999</c:v>
                </c:pt>
                <c:pt idx="7">
                  <c:v>1.8499999999999999</c:v>
                </c:pt>
                <c:pt idx="8">
                  <c:v>1.8499999999999999</c:v>
                </c:pt>
                <c:pt idx="9">
                  <c:v>0.85</c:v>
                </c:pt>
                <c:pt idx="10">
                  <c:v>0.85</c:v>
                </c:pt>
                <c:pt idx="11">
                  <c:v>0.85</c:v>
                </c:pt>
              </c:numCache>
            </c:numRef>
          </c:yVal>
          <c:smooth val="0"/>
          <c:extLst>
            <c:ext xmlns:c16="http://schemas.microsoft.com/office/drawing/2014/chart" uri="{C3380CC4-5D6E-409C-BE32-E72D297353CC}">
              <c16:uniqueId val="{0000009C-CF34-4389-B765-0425B8F1998E}"/>
            </c:ext>
          </c:extLst>
        </c:ser>
        <c:ser>
          <c:idx val="12"/>
          <c:order val="12"/>
          <c:tx>
            <c:v>ytick</c:v>
          </c:tx>
          <c:spPr>
            <a:ln w="38100">
              <a:noFill/>
            </a:ln>
          </c:spPr>
          <c:marker>
            <c:symbol val="none"/>
          </c:marker>
          <c:dLbls>
            <c:dLbl>
              <c:idx val="0"/>
              <c:tx>
                <c:strRef>
                  <c:f>Pin!$BP$24</c:f>
                  <c:strCache>
                    <c:ptCount val="1"/>
                    <c:pt idx="0">
                      <c:v>-30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{F826DE13-3D17-49C6-AEFB-A93F3413B6FF}</c15:txfldGUID>
                      <c15:f>Pin!$BP$24</c15:f>
                      <c15:dlblFieldTableCache>
                        <c:ptCount val="1"/>
                        <c:pt idx="0">
                          <c:v>-30</c:v>
                        </c:pt>
                      </c15:dlblFieldTableCache>
                    </c15:dlblFTEntry>
                  </c15:dlblFieldTable>
                  <c15:showDataLabelsRange val="0"/>
                </c:ext>
                <c:ext xmlns:c16="http://schemas.microsoft.com/office/drawing/2014/chart" uri="{C3380CC4-5D6E-409C-BE32-E72D297353CC}">
                  <c16:uniqueId val="{000000AA-CF34-4389-B765-0425B8F1998E}"/>
                </c:ext>
              </c:extLst>
            </c:dLbl>
            <c:dLbl>
              <c:idx val="1"/>
              <c:tx>
                <c:strRef>
                  <c:f>Pin!$BP$25</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{0FC8507E-CA07-436B-8C37-DA88DD3B869B}</c15:txfldGUID>
                      <c15:f>Pin!$BP$25</c15:f>
                      <c15:dlblFieldTableCache>
                        <c:ptCount val="1"/>
                        <c:pt idx="0">
                          <c:v>0</c:v>
                        </c:pt>
                      </c15:dlblFieldTableCache>
                    </c15:dlblFTEntry>
                  </c15:dlblFieldTable>
                  <c15:showDataLabelsRange val="0"/>
                </c:ext>
                <c:ext xmlns:c16="http://schemas.microsoft.com/office/drawing/2014/chart" uri="{C3380CC4-5D6E-409C-BE32-E72D297353CC}">
                  <c16:uniqueId val="{000000AB-CF34-4389-B765-0425B8F1998E}"/>
                </c:ext>
              </c:extLst>
            </c:dLbl>
            <c:dLbl>
              <c:idx val="2"/>
              <c:tx>
                <c:strRef>
                  <c:f>Pin!$BP$26</c:f>
                  <c:strCache>
                    <c:ptCount val="1"/>
                    <c:pt idx="0">
                      <c:v>30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{BCEB79A3-7834-4B02-8373-78DC0A815809}</c15:txfldGUID>
                      <c15:f>Pin!$BP$26</c15:f>
                      <c15:dlblFieldTableCache>
                        <c:ptCount val="1"/>
                        <c:pt idx="0">
                          <c:v>30</c:v>
                        </c:pt>
                      </c15:dlblFieldTableCache>
                    </c15:dlblFTEntry>
                  </c15:dlblFieldTable>
                  <c15:showDataLabelsRange val="0"/>
                </c:ext>
                <c:ext xmlns:c16="http://schemas.microsoft.com/office/drawing/2014/chart" uri="{C3380CC4-5D6E-409C-BE32-E72D297353CC}">
                  <c16:uniqueId val="{000000AC-CF34-4389-B765-0425B8F1998E}"/>
                </c:ext>
              </c:extLst>
            </c:dLbl>
            <c:dLbl>
              <c:idx val="3"/>
              <c:tx>
                <c:strRef>
                  <c:f>Pin!$BP$27</c:f>
                  <c:strCache>
                    <c:ptCount val="1"/>
                    <c:pt idx="0">
                      <c:v>-30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{37AFC4A9-41D2-4C3B-B9C0-B6B31CCA920D}</c15:txfldGUID>
                      <c15:f>Pin!$BP$27</c15:f>
                      <c15:dlblFieldTableCache>
                        <c:ptCount val="1"/>
                        <c:pt idx="0">
                          <c:v>-30</c:v>
                        </c:pt>
                      </c15:dlblFieldTableCache>
                    </c15:dlblFTEntry>
                  </c15:dlblFieldTable>
                  <c15:showDataLabelsRange val="0"/>
                </c:ext>
                <c:ext xmlns:c16="http://schemas.microsoft.com/office/drawing/2014/chart" uri="{C3380CC4-5D6E-409C-BE32-E72D297353CC}">
                  <c16:uniqueId val="{000000AD-CF34-4389-B765-0425B8F1998E}"/>
                </c:ext>
              </c:extLst>
            </c:dLbl>
            <c:dLbl>
              <c:idx val="4"/>
              <c:tx>
                <c:strRef>
                  <c:f>Pin!$BP$28</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{FD388A95-670E-45F8-BC22-733A6F82CB53}</c15:txfldGUID>
                      <c15:f>Pin!$BP$28</c15:f>
                      <c15:dlblFieldTableCache>
                        <c:ptCount val="1"/>
                        <c:pt idx="0">
                          <c:v>0</c:v>
                        </c:pt>
                      </c15:dlblFieldTableCache>
                    </c15:dlblFTEntry>
                  </c15:dlblFieldTable>
                  <c15:showDataLabelsRange val="0"/>
                </c:ext>
                <c:ext xmlns:c16="http://schemas.microsoft.com/office/drawing/2014/chart" uri="{C3380CC4-5D6E-409C-BE32-E72D297353CC}">
                  <c16:uniqueId val="{000000AE-CF34-4389-B765-0425B8F1998E}"/>
                </c:ext>
              </c:extLst>
            </c:dLbl>
            <c:dLbl>
              <c:idx val="5"/>
              <c:tx>
                <c:strRef>
                  <c:f>Pin!$BP$29</c:f>
                  <c:strCache>
                    <c:ptCount val="1"/>
                    <c:pt idx="0">
                      <c:v>30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{B99519CF-7F32-4CB6-ACFC-4DC2D4929F02}</c15:txfldGUID>
                      <c15:f>Pin!$BP$29</c15:f>
                      <c15:dlblFieldTableCache>
                        <c:ptCount val="1"/>
                        <c:pt idx="0">
                          <c:v>30</c:v>
                        </c:pt>
                      </c15:dlblFieldTableCache>
                    </c15:dlblFTEntry>
                  </c15:dlblFieldTable>
                  <c15:showDataLabelsRange val="0"/>
                </c:ext>
                <c:ext xmlns:c16="http://schemas.microsoft.com/office/drawing/2014/chart" uri="{C3380CC4-5D6E-409C-BE32-E72D297353CC}">
                  <c16:uniqueId val="{000000AF-CF34-4389-B765-0425B8F1998E}"/>
                </c:ext>
              </c:extLst>
            </c:dLbl>
            <c:dLbl>
              <c:idx val="6"/>
              <c:tx>
                <c:strRef>
                  <c:f>Pin!$BP$30</c:f>
                  <c:strCache>
                    <c:ptCount val="1"/>
                    <c:pt idx="0">
                      <c:v>-30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{67E93BD0-CD1E-4A6E-B72E-9A20BC94BF9E}</c15:txfldGUID>
                      <c15:f>Pin!$BP$30</c15:f>
                      <c15:dlblFieldTableCache>
                        <c:ptCount val="1"/>
                        <c:pt idx="0">
                          <c:v>-30</c:v>
                        </c:pt>
                      </c15:dlblFieldTableCache>
                    </c15:dlblFTEntry>
                  </c15:dlblFieldTable>
                  <c15:showDataLabelsRange val="0"/>
                </c:ext>
                <c:ext xmlns:c16="http://schemas.microsoft.com/office/drawing/2014/chart" uri="{C3380CC4-5D6E-409C-BE32-E72D297353CC}">
                  <c16:uniqueId val="{000000B0-CF34-4389-B765-0425B8F1998E}"/>
                </c:ext>
              </c:extLst>
            </c:dLbl>
            <c:dLbl>
              <c:idx val="7"/>
              <c:tx>
                <c:strRef>
                  <c:f>Pin!$BP$31</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{35877D43-B0E5-4E8B-BD64-80D083DF3B8E}</c15:txfldGUID>
                      <c15:f>Pin!$BP$31</c15:f>
                      <c15:dlblFieldTableCache>
                        <c:ptCount val="1"/>
                        <c:pt idx="0">
                          <c:v>0</c:v>
                        </c:pt>
                      </c15:dlblFieldTableCache>
                    </c15:dlblFTEntry>
                  </c15:dlblFieldTable>
                  <c15:showDataLabelsRange val="0"/>
                </c:ext>
                <c:ext xmlns:c16="http://schemas.microsoft.com/office/drawing/2014/chart" uri="{C3380CC4-5D6E-409C-BE32-E72D297353CC}">
                  <c16:uniqueId val="{000000B1-CF34-4389-B765-0425B8F1998E}"/>
                </c:ext>
              </c:extLst>
            </c:dLbl>
            <c:dLbl>
              <c:idx val="8"/>
              <c:tx>
                <c:strRef>
                  <c:f>Pin!$BP$32</c:f>
                  <c:strCache>
                    <c:ptCount val="1"/>
                    <c:pt idx="0">
                      <c:v>30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{3A0EC916-A25E-4FDF-B801-8D35E4F6B8E7}</c15:txfldGUID>
                      <c15:f>Pin!$BP$32</c15:f>
                      <c15:dlblFieldTableCache>
                        <c:ptCount val="1"/>
                        <c:pt idx="0">
                          <c:v>30</c:v>
                        </c:pt>
                      </c15:dlblFieldTableCache>
                    </c15:dlblFTEntry>
                  </c15:dlblFieldTable>
                  <c15:showDataLabelsRange val="0"/>
                </c:ext>
                <c:ext xmlns:c16="http://schemas.microsoft.com/office/drawing/2014/chart" uri="{C3380CC4-5D6E-409C-BE32-E72D297353CC}">
                  <c16:uniqueId val="{000000B2-CF34-4389-B765-0425B8F1998E}"/>
                </c:ext>
              </c:extLst>
            </c:dLbl>
            <c:dLbl>
              <c:idx val="9"/>
              <c:tx>
                <c:strRef>
                  <c:f>Pin!$BP$33</c:f>
                  <c:strCache>
                    <c:ptCount val="1"/>
                    <c:pt idx="0">
                      <c:v>-30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{38B9BC27-6F48-4201-BBFF-3CF88907FF6F}</c15:txfldGUID>
                      <c15:f>Pin!$BP$33</c15:f>
                      <c15:dlblFieldTableCache>
                        <c:ptCount val="1"/>
                        <c:pt idx="0">
                          <c:v>-30</c:v>
                        </c:pt>
                      </c15:dlblFieldTableCache>
                    </c15:dlblFTEntry>
                  </c15:dlblFieldTable>
                  <c15:showDataLabelsRange val="0"/>
                </c:ext>
                <c:ext xmlns:c16="http://schemas.microsoft.com/office/drawing/2014/chart" uri="{C3380CC4-5D6E-409C-BE32-E72D297353CC}">
                  <c16:uniqueId val="{000000B3-CF34-4389-B765-0425B8F1998E}"/>
                </c:ext>
              </c:extLst>
            </c:dLbl>
            <c:dLbl>
              <c:idx val="10"/>
              <c:tx>
                <c:strRef>
                  <c:f>Pin!$BP$34</c:f>
                  <c:strCache>
                    <c:ptCount val="1"/>
                    <c:pt idx="0">
                      <c:v>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{50EEA520-390E-436D-BFA9-A89554744C51}</c15:txfldGUID>
                      <c15:f>Pin!$BP$34</c15:f>
                      <c15:dlblFieldTableCache>
                        <c:ptCount val="1"/>
                        <c:pt idx="0">
                          <c:v>0</c:v>
                        </c:pt>
                      </c15:dlblFieldTableCache>
                    </c15:dlblFTEntry>
                  </c15:dlblFieldTable>
                  <c15:showDataLabelsRange val="0"/>
                </c:ext>
                <c:ext xmlns:c16="http://schemas.microsoft.com/office/drawing/2014/chart" uri="{C3380CC4-5D6E-409C-BE32-E72D297353CC}">
                  <c16:uniqueId val="{000000B4-CF34-4389-B765-0425B8F1998E}"/>
                </c:ext>
              </c:extLst>
            </c:dLbl>
            <c:dLbl>
              <c:idx val="11"/>
              <c:tx>
                <c:strRef>
                  <c:f>Pin!$BP$35</c:f>
                  <c:strCache>
                    <c:ptCount val="1"/>
                    <c:pt idx="0">
                      <c:v>30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{115A405B-80A9-4D3E-AEF5-FCB2EDA4A84B}</c15:txfldGUID>
                      <c15:f>Pin!$BP$35</c15:f>
                      <c15:dlblFieldTableCache>
                        <c:ptCount val="1"/>
                        <c:pt idx="0">
                          <c:v>30</c:v>
                        </c:pt>
                      </c15:dlblFieldTableCache>
                    </c15:dlblFTEntry>
                  </c15:dlblFieldTable>
                  <c15:showDataLabelsRange val="0"/>
                </c:ext>
                <c:ext xmlns:c16="http://schemas.microsoft.com/office/drawing/2014/chart" uri="{C3380CC4-5D6E-409C-BE32-E72D297353CC}">
                  <c16:uniqueId val="{000000B5-CF34-4389-B765-0425B8F1998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Pin!$BN$24:$BN$35</c:f>
              <c:numCache>
                <c:formatCode>General</c:formatCode>
                <c:ptCount val="12"/>
                <c:pt idx="0">
                  <c:v>3.35</c:v>
                </c:pt>
                <c:pt idx="1">
                  <c:v>3.35</c:v>
                </c:pt>
                <c:pt idx="2">
                  <c:v>3.35</c:v>
                </c:pt>
                <c:pt idx="3">
                  <c:v>3.35</c:v>
                </c:pt>
                <c:pt idx="4">
                  <c:v>3.35</c:v>
                </c:pt>
                <c:pt idx="5">
                  <c:v>3.35</c:v>
                </c:pt>
                <c:pt idx="6">
                  <c:v>3.35</c:v>
                </c:pt>
                <c:pt idx="7">
                  <c:v>3.35</c:v>
                </c:pt>
                <c:pt idx="8">
                  <c:v>3.35</c:v>
                </c:pt>
                <c:pt idx="9">
                  <c:v>3.35</c:v>
                </c:pt>
                <c:pt idx="10">
                  <c:v>3.35</c:v>
                </c:pt>
                <c:pt idx="11">
                  <c:v>3.35</c:v>
                </c:pt>
              </c:numCache>
            </c:numRef>
          </c:xVal>
          <c:yVal>
            <c:numRef>
              <c:f>Pin!$BO$24:$BO$35</c:f>
              <c:numCache>
                <c:formatCode>General</c:formatCode>
                <c:ptCount val="12"/>
                <c:pt idx="0">
                  <c:v>0</c:v>
                </c:pt>
                <c:pt idx="1">
                  <c:v>0.41</c:v>
                </c:pt>
                <c:pt idx="2">
                  <c:v>0.82</c:v>
                </c:pt>
                <c:pt idx="3">
                  <c:v>1</c:v>
                </c:pt>
                <c:pt idx="4">
                  <c:v>1.41</c:v>
                </c:pt>
                <c:pt idx="5">
                  <c:v>1.8199999999999998</c:v>
                </c:pt>
                <c:pt idx="6">
                  <c:v>2</c:v>
                </c:pt>
                <c:pt idx="7">
                  <c:v>2.41</c:v>
                </c:pt>
                <c:pt idx="8">
                  <c:v>2.82</c:v>
                </c:pt>
                <c:pt idx="9">
                  <c:v>3</c:v>
                </c:pt>
                <c:pt idx="10">
                  <c:v>3.41</c:v>
                </c:pt>
                <c:pt idx="11">
                  <c:v>3.82</c:v>
                </c:pt>
              </c:numCache>
            </c:numRef>
          </c:yVal>
          <c:smooth val="0"/>
          <c:extLst>
            <c:ext xmlns:c16="http://schemas.microsoft.com/office/drawing/2014/chart" uri="{C3380CC4-5D6E-409C-BE32-E72D297353CC}">
              <c16:uniqueId val="{0000009D-CF34-4389-B765-0425B8F1998E}"/>
            </c:ext>
          </c:extLst>
        </c:ser>
        <c:dLbls>
          <c:showLegendKey val="0"/>
          <c:showVal val="0"/>
          <c:showCatName val="0"/>
          <c:showSerName val="0"/>
          <c:showPercent val="0"/>
          <c:showBubbleSize val="0"/>
        </c:dLbls>
        <c:axId val="1904812623"/>
        <c:axId val="1904813583"/>
      </c:scatterChart>
      <c:catAx>
        <c:axId val="467533615"/>
        <c:scaling>
          <c:orientation val="minMax"/>
        </c:scaling>
        <c:delete val="0"/>
        <c:axPos val="b"/>
        <c:numFmt formatCode="General" sourceLinked="1"/>
        <c:majorTickMark val="none"/>
        <c:minorTickMark val="none"/>
        <c:tickLblPos val="low"/>
        <c:spPr>
          <a:ln>
            <a:solidFill>
              <a:srgbClr val="A6A6A6"/>
            </a:solidFill>
          </a:ln>
        </c:spPr>
        <c:txPr>
          <a:bodyPr/>
          <a:lstStyle/>
          <a:p>
            <a:pPr>
              <a:defRPr sz="800"/>
            </a:pPr>
            <a:endParaRPr lang="en-US"/>
          </a:p>
        </c:txPr>
        <c:crossAx val="1904809743"/>
        <c:crosses val="autoZero"/>
        <c:auto val="1"/>
        <c:lblAlgn val="ctr"/>
        <c:lblOffset val="100"/>
        <c:noMultiLvlLbl val="0"/>
      </c:catAx>
      <c:valAx>
        <c:axId val="1904809743"/>
        <c:scaling>
          <c:orientation val="minMax"/>
          <c:max val="4"/>
          <c:min val="0"/>
        </c:scaling>
        <c:delete val="0"/>
        <c:axPos val="l"/>
        <c:numFmt formatCode="General"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467533615"/>
        <c:crosses val="autoZero"/>
        <c:crossBetween val="between"/>
      </c:valAx>
      <c:valAx>
        <c:axId val="1904813583"/>
        <c:scaling>
          <c:orientation val="minMax"/>
          <c:max val="4"/>
          <c:min val="0"/>
        </c:scaling>
        <c:delete val="0"/>
        <c:axPos val="r"/>
        <c:numFmt formatCode="General"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1904812623"/>
        <c:crosses val="max"/>
        <c:crossBetween val="midCat"/>
      </c:valAx>
      <c:valAx>
        <c:axId val="1904812623"/>
        <c:scaling>
          <c:orientation val="minMax"/>
          <c:max val="41.5"/>
          <c:min val="0.5"/>
        </c:scaling>
        <c:delete val="1"/>
        <c:axPos val="b"/>
        <c:numFmt formatCode="General" sourceLinked="1"/>
        <c:majorTickMark val="none"/>
        <c:minorTickMark val="none"/>
        <c:tickLblPos val="none"/>
        <c:crossAx val="1904813583"/>
        <c:crossBetween val="midCat"/>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a:pPr>
            <a:r>
              <a:rPr lang="en-US"/>
              <a:t>Revenue against plan, by business partner</a:t>
            </a:r>
          </a:p>
        </c:rich>
      </c:tx>
      <c:overlay val="0"/>
    </c:title>
    <c:autoTitleDeleted val="0"/>
    <c:plotArea>
      <c:layout/>
      <c:lineChart>
        <c:grouping val="standard"/>
        <c:varyColors val="0"/>
        <c:ser>
          <c:idx val="0"/>
          <c:order val="0"/>
          <c:tx>
            <c:v>Actual</c:v>
          </c:tx>
          <c:spPr>
            <a:ln w="38100" cap="rnd" cmpd="sng" algn="ctr">
              <a:noFill/>
              <a:prstDash val="solid"/>
              <a:round/>
            </a:ln>
            <a:effectLst/>
            <a:extLst>
              <a:ext uri="{91240B29-F687-4F45-9708-019B960494DF}">
                <a14:hiddenLine xmlns:a14="http://schemas.microsoft.com/office/drawing/2010/main" w="38100" cap="rnd" cmpd="sng" algn="ctr">
                  <a:solidFill>
                    <a:srgbClr val="156082"/>
                  </a:solidFill>
                  <a:prstDash val="solid"/>
                  <a:round/>
                </a14:hiddenLine>
              </a:ext>
            </a:extLst>
          </c:spPr>
          <c:marker>
            <c:symbol val="circle"/>
            <c:size val="4"/>
            <c:spPr>
              <a:solidFill>
                <a:srgbClr val="1F4E79"/>
              </a:solidFill>
              <a:ln w="12700">
                <a:solidFill>
                  <a:srgbClr val="1F4E79"/>
                </a:solidFill>
                <a:prstDash val="solid"/>
              </a:ln>
              <a:effectLst/>
              <a:extLst>
                <a:ext uri="{91240B29-F687-4F45-9708-019B960494DF}">
                  <a14:hiddenLine xmlns:a14="http://schemas.microsoft.com/office/drawing/2010/main" w="12700" cap="flat" cmpd="sng" algn="ctr">
                    <a:solidFill>
                      <a:srgbClr val="156082"/>
                    </a:solidFill>
                    <a:prstDash val="solid"/>
                    <a:round/>
                  </a14:hiddenLine>
                </a:ext>
              </a:extLst>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Dot!$AL$24:$AL$64</c:f>
              <c:numCache>
                <c:formatCode>General</c:formatCode>
                <c:ptCount val="41"/>
                <c:pt idx="0">
                  <c:v>#N/A</c:v>
                </c:pt>
                <c:pt idx="1">
                  <c:v>#N/A</c:v>
                </c:pt>
                <c:pt idx="2">
                  <c:v>#N/A</c:v>
                </c:pt>
                <c:pt idx="3">
                  <c:v>9.1111111111111101E-2</c:v>
                </c:pt>
                <c:pt idx="4">
                  <c:v>0.15743999999999994</c:v>
                </c:pt>
                <c:pt idx="5">
                  <c:v>0.22367777777777778</c:v>
                </c:pt>
                <c:pt idx="6">
                  <c:v>0.12591555555555556</c:v>
                </c:pt>
                <c:pt idx="7">
                  <c:v>0.19224444444444444</c:v>
                </c:pt>
                <c:pt idx="8">
                  <c:v>0.25857333333333327</c:v>
                </c:pt>
                <c:pt idx="9">
                  <c:v>0.1608111111111111</c:v>
                </c:pt>
                <c:pt idx="10">
                  <c:v>0.22704888888888894</c:v>
                </c:pt>
                <c:pt idx="11">
                  <c:v>0.29337777777777774</c:v>
                </c:pt>
                <c:pt idx="12">
                  <c:v>0.19570666666666661</c:v>
                </c:pt>
                <c:pt idx="13">
                  <c:v>0.26194444444444442</c:v>
                </c:pt>
                <c:pt idx="14">
                  <c:v>0.32818222222222221</c:v>
                </c:pt>
                <c:pt idx="15">
                  <c:v>#N/A</c:v>
                </c:pt>
                <c:pt idx="16">
                  <c:v>0.49655555555555547</c:v>
                </c:pt>
                <c:pt idx="17">
                  <c:v>0.57163111111111109</c:v>
                </c:pt>
                <c:pt idx="18">
                  <c:v>0.48270666666666662</c:v>
                </c:pt>
                <c:pt idx="19">
                  <c:v>0.55769111111111103</c:v>
                </c:pt>
                <c:pt idx="20">
                  <c:v>0.63276666666666659</c:v>
                </c:pt>
                <c:pt idx="21">
                  <c:v>0.54384222222222212</c:v>
                </c:pt>
                <c:pt idx="22">
                  <c:v>0.61882666666666664</c:v>
                </c:pt>
                <c:pt idx="23">
                  <c:v>0.69390222222222209</c:v>
                </c:pt>
                <c:pt idx="24">
                  <c:v>0.60497777777777773</c:v>
                </c:pt>
                <c:pt idx="25">
                  <c:v>0.6800533333333334</c:v>
                </c:pt>
                <c:pt idx="26">
                  <c:v>0.75512888888888885</c:v>
                </c:pt>
                <c:pt idx="27">
                  <c:v>0.66611333333333322</c:v>
                </c:pt>
                <c:pt idx="28">
                  <c:v>#N/A</c:v>
                </c:pt>
                <c:pt idx="29">
                  <c:v>0.35077777777777774</c:v>
                </c:pt>
                <c:pt idx="30">
                  <c:v>0.25684222222222219</c:v>
                </c:pt>
                <c:pt idx="31">
                  <c:v>0.32690666666666662</c:v>
                </c:pt>
                <c:pt idx="32">
                  <c:v>0.39688000000000001</c:v>
                </c:pt>
                <c:pt idx="33">
                  <c:v>0.30294444444444446</c:v>
                </c:pt>
                <c:pt idx="34">
                  <c:v>0.37300888888888883</c:v>
                </c:pt>
                <c:pt idx="35">
                  <c:v>0.44298222222222222</c:v>
                </c:pt>
                <c:pt idx="36">
                  <c:v>0.34904666666666667</c:v>
                </c:pt>
                <c:pt idx="37">
                  <c:v>0.41911111111111105</c:v>
                </c:pt>
                <c:pt idx="38">
                  <c:v>0.48917555555555547</c:v>
                </c:pt>
                <c:pt idx="39">
                  <c:v>0.39523999999999992</c:v>
                </c:pt>
                <c:pt idx="40">
                  <c:v>0.46521333333333331</c:v>
                </c:pt>
              </c:numCache>
            </c:numRef>
          </c:val>
          <c:smooth val="0"/>
          <c:extLst>
            <c:ext xmlns:c16="http://schemas.microsoft.com/office/drawing/2014/chart" uri="{C3380CC4-5D6E-409C-BE32-E72D297353CC}">
              <c16:uniqueId val="{00000001-B85C-44A5-B19E-04624DA4E15F}"/>
            </c:ext>
          </c:extLst>
        </c:ser>
        <c:ser>
          <c:idx val="1"/>
          <c:order val="1"/>
          <c:tx>
            <c:v>Plan</c:v>
          </c:tx>
          <c:spPr>
            <a:ln w="38100">
              <a:noFill/>
            </a:ln>
          </c:spPr>
          <c:marker>
            <c:symbol val="circle"/>
            <c:size val="4"/>
            <c:spPr>
              <a:solidFill>
                <a:srgbClr val="A6A6A6"/>
              </a:solidFill>
              <a:ln>
                <a:solidFill>
                  <a:srgbClr val="A6A6A6"/>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Dot!$AM$24:$AM$64</c:f>
              <c:numCache>
                <c:formatCode>General</c:formatCode>
                <c:ptCount val="41"/>
                <c:pt idx="0">
                  <c:v>#N/A</c:v>
                </c:pt>
                <c:pt idx="1">
                  <c:v>#N/A</c:v>
                </c:pt>
                <c:pt idx="2">
                  <c:v>#N/A</c:v>
                </c:pt>
                <c:pt idx="3">
                  <c:v>0.10450444444444444</c:v>
                </c:pt>
                <c:pt idx="4">
                  <c:v>0.14313555555555557</c:v>
                </c:pt>
                <c:pt idx="5">
                  <c:v>0.18167555555555553</c:v>
                </c:pt>
                <c:pt idx="6">
                  <c:v>0.13830666666666669</c:v>
                </c:pt>
                <c:pt idx="7">
                  <c:v>0.1769377777777778</c:v>
                </c:pt>
                <c:pt idx="8">
                  <c:v>0.21547777777777777</c:v>
                </c:pt>
                <c:pt idx="9">
                  <c:v>0.17210888888888887</c:v>
                </c:pt>
                <c:pt idx="10">
                  <c:v>0.21073999999999996</c:v>
                </c:pt>
                <c:pt idx="11">
                  <c:v>0.24928000000000003</c:v>
                </c:pt>
                <c:pt idx="12">
                  <c:v>0.2059111111111111</c:v>
                </c:pt>
                <c:pt idx="13">
                  <c:v>0.24454222222222222</c:v>
                </c:pt>
                <c:pt idx="14">
                  <c:v>0.28308222222222224</c:v>
                </c:pt>
                <c:pt idx="15">
                  <c:v>#N/A</c:v>
                </c:pt>
                <c:pt idx="16">
                  <c:v>0.47204666666666661</c:v>
                </c:pt>
                <c:pt idx="17">
                  <c:v>0.51924222222222216</c:v>
                </c:pt>
                <c:pt idx="18">
                  <c:v>0.48434666666666665</c:v>
                </c:pt>
                <c:pt idx="19">
                  <c:v>0.5314511111111111</c:v>
                </c:pt>
                <c:pt idx="20">
                  <c:v>0.5785555555555556</c:v>
                </c:pt>
                <c:pt idx="21">
                  <c:v>0.54366000000000003</c:v>
                </c:pt>
                <c:pt idx="22">
                  <c:v>0.59076444444444443</c:v>
                </c:pt>
                <c:pt idx="23">
                  <c:v>0.63786888888888871</c:v>
                </c:pt>
                <c:pt idx="24">
                  <c:v>0.60297333333333325</c:v>
                </c:pt>
                <c:pt idx="25">
                  <c:v>0.65007777777777775</c:v>
                </c:pt>
                <c:pt idx="26">
                  <c:v>0.69718222222222226</c:v>
                </c:pt>
                <c:pt idx="27">
                  <c:v>0.66228666666666669</c:v>
                </c:pt>
                <c:pt idx="28">
                  <c:v>#N/A</c:v>
                </c:pt>
                <c:pt idx="29">
                  <c:v>0.30503999999999992</c:v>
                </c:pt>
                <c:pt idx="30">
                  <c:v>0.26522444444444443</c:v>
                </c:pt>
                <c:pt idx="31">
                  <c:v>0.3075</c:v>
                </c:pt>
                <c:pt idx="32">
                  <c:v>0.34977555555555551</c:v>
                </c:pt>
                <c:pt idx="33">
                  <c:v>0.30996000000000001</c:v>
                </c:pt>
                <c:pt idx="34">
                  <c:v>0.35223555555555558</c:v>
                </c:pt>
                <c:pt idx="35">
                  <c:v>0.39451111111111109</c:v>
                </c:pt>
                <c:pt idx="36">
                  <c:v>0.35469555555555549</c:v>
                </c:pt>
                <c:pt idx="37">
                  <c:v>0.39697111111111111</c:v>
                </c:pt>
                <c:pt idx="38">
                  <c:v>0.43924666666666667</c:v>
                </c:pt>
                <c:pt idx="39">
                  <c:v>0.39943111111111107</c:v>
                </c:pt>
                <c:pt idx="40">
                  <c:v>0.44170666666666658</c:v>
                </c:pt>
              </c:numCache>
            </c:numRef>
          </c:val>
          <c:smooth val="0"/>
          <c:extLst>
            <c:ext xmlns:c16="http://schemas.microsoft.com/office/drawing/2014/chart" uri="{C3380CC4-5D6E-409C-BE32-E72D297353CC}">
              <c16:uniqueId val="{00000002-B85C-44A5-B19E-04624DA4E15F}"/>
            </c:ext>
          </c:extLst>
        </c:ser>
        <c:ser>
          <c:idx val="2"/>
          <c:order val="2"/>
          <c:tx>
            <c:v>Actual</c:v>
          </c:tx>
          <c:spPr>
            <a:ln w="38100">
              <a:noFill/>
            </a:ln>
          </c:spPr>
          <c:marker>
            <c:symbol val="circle"/>
            <c:size val="4"/>
            <c:spPr>
              <a:solidFill>
                <a:srgbClr val="1F4E79"/>
              </a:solidFill>
              <a:ln>
                <a:solidFill>
                  <a:srgbClr val="1F4E79"/>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Dot!$AN$24:$AN$64</c:f>
              <c:numCache>
                <c:formatCode>General</c:formatCode>
                <c:ptCount val="41"/>
                <c:pt idx="0">
                  <c:v>#N/A</c:v>
                </c:pt>
                <c:pt idx="1">
                  <c:v>#N/A</c:v>
                </c:pt>
                <c:pt idx="2">
                  <c:v>#N/A</c:v>
                </c:pt>
                <c:pt idx="3">
                  <c:v>1.1412222222222221</c:v>
                </c:pt>
                <c:pt idx="4">
                  <c:v>1.2087355555555557</c:v>
                </c:pt>
                <c:pt idx="5">
                  <c:v>1.276248888888889</c:v>
                </c:pt>
                <c:pt idx="6">
                  <c:v>1.1798533333333332</c:v>
                </c:pt>
                <c:pt idx="7">
                  <c:v>1.2473666666666667</c:v>
                </c:pt>
                <c:pt idx="8">
                  <c:v>1.31488</c:v>
                </c:pt>
                <c:pt idx="9">
                  <c:v>1.2184844444444445</c:v>
                </c:pt>
                <c:pt idx="10">
                  <c:v>1.2859977777777778</c:v>
                </c:pt>
                <c:pt idx="11">
                  <c:v>1.3535111111111111</c:v>
                </c:pt>
                <c:pt idx="12">
                  <c:v>1.2570244444444445</c:v>
                </c:pt>
                <c:pt idx="13">
                  <c:v>1.3245377777777778</c:v>
                </c:pt>
                <c:pt idx="14">
                  <c:v>1.3921422222222222</c:v>
                </c:pt>
                <c:pt idx="15">
                  <c:v>#N/A</c:v>
                </c:pt>
                <c:pt idx="16">
                  <c:v>1.5466666666666666</c:v>
                </c:pt>
                <c:pt idx="17">
                  <c:v>1.6230177777777777</c:v>
                </c:pt>
                <c:pt idx="18">
                  <c:v>1.5352777777777777</c:v>
                </c:pt>
                <c:pt idx="19">
                  <c:v>1.611537777777778</c:v>
                </c:pt>
                <c:pt idx="20">
                  <c:v>1.6878888888888888</c:v>
                </c:pt>
                <c:pt idx="21">
                  <c:v>1.6002399999999999</c:v>
                </c:pt>
                <c:pt idx="22">
                  <c:v>1.6764999999999999</c:v>
                </c:pt>
                <c:pt idx="23">
                  <c:v>1.7527599999999999</c:v>
                </c:pt>
                <c:pt idx="24">
                  <c:v>1.665111111111111</c:v>
                </c:pt>
                <c:pt idx="25">
                  <c:v>1.7414622222222222</c:v>
                </c:pt>
                <c:pt idx="26">
                  <c:v>1.8177222222222222</c:v>
                </c:pt>
                <c:pt idx="27">
                  <c:v>1.7299822222222221</c:v>
                </c:pt>
                <c:pt idx="28">
                  <c:v>#N/A</c:v>
                </c:pt>
                <c:pt idx="29">
                  <c:v>1.4008888888888889</c:v>
                </c:pt>
                <c:pt idx="30">
                  <c:v>1.3081377777777778</c:v>
                </c:pt>
                <c:pt idx="31">
                  <c:v>1.3794777777777778</c:v>
                </c:pt>
                <c:pt idx="32">
                  <c:v>1.4508177777777778</c:v>
                </c:pt>
                <c:pt idx="33">
                  <c:v>1.3580666666666668</c:v>
                </c:pt>
                <c:pt idx="34">
                  <c:v>1.4293155555555555</c:v>
                </c:pt>
                <c:pt idx="35">
                  <c:v>1.5006555555555554</c:v>
                </c:pt>
                <c:pt idx="36">
                  <c:v>1.4079955555555554</c:v>
                </c:pt>
                <c:pt idx="37">
                  <c:v>1.4792444444444444</c:v>
                </c:pt>
                <c:pt idx="38">
                  <c:v>1.5505844444444443</c:v>
                </c:pt>
                <c:pt idx="39">
                  <c:v>1.4578333333333333</c:v>
                </c:pt>
                <c:pt idx="40">
                  <c:v>1.5290822222222222</c:v>
                </c:pt>
              </c:numCache>
            </c:numRef>
          </c:val>
          <c:smooth val="0"/>
          <c:extLst>
            <c:ext xmlns:c16="http://schemas.microsoft.com/office/drawing/2014/chart" uri="{C3380CC4-5D6E-409C-BE32-E72D297353CC}">
              <c16:uniqueId val="{00000003-B85C-44A5-B19E-04624DA4E15F}"/>
            </c:ext>
          </c:extLst>
        </c:ser>
        <c:ser>
          <c:idx val="3"/>
          <c:order val="3"/>
          <c:tx>
            <c:v>Plan</c:v>
          </c:tx>
          <c:spPr>
            <a:ln w="38100">
              <a:noFill/>
            </a:ln>
          </c:spPr>
          <c:marker>
            <c:symbol val="circle"/>
            <c:size val="4"/>
            <c:spPr>
              <a:solidFill>
                <a:srgbClr val="A6A6A6"/>
              </a:solidFill>
              <a:ln>
                <a:solidFill>
                  <a:srgbClr val="A6A6A6"/>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Dot!$AO$24:$AO$64</c:f>
              <c:numCache>
                <c:formatCode>General</c:formatCode>
                <c:ptCount val="41"/>
                <c:pt idx="0">
                  <c:v>#N/A</c:v>
                </c:pt>
                <c:pt idx="1">
                  <c:v>#N/A</c:v>
                </c:pt>
                <c:pt idx="2">
                  <c:v>#N/A</c:v>
                </c:pt>
                <c:pt idx="3">
                  <c:v>1.1530666666666667</c:v>
                </c:pt>
                <c:pt idx="4">
                  <c:v>1.1929733333333332</c:v>
                </c:pt>
                <c:pt idx="5">
                  <c:v>1.2327888888888889</c:v>
                </c:pt>
                <c:pt idx="6">
                  <c:v>1.1906044444444444</c:v>
                </c:pt>
                <c:pt idx="7">
                  <c:v>1.2304200000000001</c:v>
                </c:pt>
                <c:pt idx="8">
                  <c:v>1.2702355555555556</c:v>
                </c:pt>
                <c:pt idx="9">
                  <c:v>1.228051111111111</c:v>
                </c:pt>
                <c:pt idx="10">
                  <c:v>1.2678666666666667</c:v>
                </c:pt>
                <c:pt idx="11">
                  <c:v>1.3076822222222222</c:v>
                </c:pt>
                <c:pt idx="12">
                  <c:v>1.2654977777777778</c:v>
                </c:pt>
                <c:pt idx="13">
                  <c:v>1.3053133333333333</c:v>
                </c:pt>
                <c:pt idx="14">
                  <c:v>1.3451288888888888</c:v>
                </c:pt>
                <c:pt idx="15">
                  <c:v>#N/A</c:v>
                </c:pt>
                <c:pt idx="16">
                  <c:v>1.5206999999999999</c:v>
                </c:pt>
                <c:pt idx="17">
                  <c:v>1.5689888888888888</c:v>
                </c:pt>
                <c:pt idx="18">
                  <c:v>1.5353688888888888</c:v>
                </c:pt>
                <c:pt idx="19">
                  <c:v>1.5836577777777778</c:v>
                </c:pt>
                <c:pt idx="20">
                  <c:v>1.6320377777777777</c:v>
                </c:pt>
                <c:pt idx="21">
                  <c:v>1.5983266666666667</c:v>
                </c:pt>
                <c:pt idx="22">
                  <c:v>1.6466155555555555</c:v>
                </c:pt>
                <c:pt idx="23">
                  <c:v>1.6949955555555554</c:v>
                </c:pt>
                <c:pt idx="24">
                  <c:v>1.6612844444444443</c:v>
                </c:pt>
                <c:pt idx="25">
                  <c:v>1.7095733333333332</c:v>
                </c:pt>
                <c:pt idx="26">
                  <c:v>1.7579533333333335</c:v>
                </c:pt>
                <c:pt idx="27">
                  <c:v>1.7242422222222222</c:v>
                </c:pt>
                <c:pt idx="28">
                  <c:v>#N/A</c:v>
                </c:pt>
                <c:pt idx="29">
                  <c:v>1.3536022222222222</c:v>
                </c:pt>
                <c:pt idx="30">
                  <c:v>1.3150622222222221</c:v>
                </c:pt>
                <c:pt idx="31">
                  <c:v>1.3585222222222222</c:v>
                </c:pt>
                <c:pt idx="32">
                  <c:v>1.4019822222222222</c:v>
                </c:pt>
                <c:pt idx="33">
                  <c:v>1.3634422222222222</c:v>
                </c:pt>
                <c:pt idx="34">
                  <c:v>1.4069022222222223</c:v>
                </c:pt>
                <c:pt idx="35">
                  <c:v>1.4503622222222221</c:v>
                </c:pt>
                <c:pt idx="36">
                  <c:v>1.4118222222222223</c:v>
                </c:pt>
                <c:pt idx="37">
                  <c:v>1.4552822222222224</c:v>
                </c:pt>
                <c:pt idx="38">
                  <c:v>1.4987422222222222</c:v>
                </c:pt>
                <c:pt idx="39">
                  <c:v>1.4602022222222222</c:v>
                </c:pt>
                <c:pt idx="40">
                  <c:v>1.5036622222222222</c:v>
                </c:pt>
              </c:numCache>
            </c:numRef>
          </c:val>
          <c:smooth val="0"/>
          <c:extLst>
            <c:ext xmlns:c16="http://schemas.microsoft.com/office/drawing/2014/chart" uri="{C3380CC4-5D6E-409C-BE32-E72D297353CC}">
              <c16:uniqueId val="{00000004-B85C-44A5-B19E-04624DA4E15F}"/>
            </c:ext>
          </c:extLst>
        </c:ser>
        <c:ser>
          <c:idx val="4"/>
          <c:order val="4"/>
          <c:tx>
            <c:v>Actual</c:v>
          </c:tx>
          <c:spPr>
            <a:ln w="38100">
              <a:noFill/>
            </a:ln>
          </c:spPr>
          <c:marker>
            <c:symbol val="circle"/>
            <c:size val="4"/>
            <c:spPr>
              <a:solidFill>
                <a:srgbClr val="1F4E79"/>
              </a:solidFill>
              <a:ln>
                <a:solidFill>
                  <a:srgbClr val="1F4E79"/>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Dot!$AP$24:$AP$64</c:f>
              <c:numCache>
                <c:formatCode>General</c:formatCode>
                <c:ptCount val="41"/>
                <c:pt idx="0">
                  <c:v>#N/A</c:v>
                </c:pt>
                <c:pt idx="1">
                  <c:v>#N/A</c:v>
                </c:pt>
                <c:pt idx="2">
                  <c:v>#N/A</c:v>
                </c:pt>
                <c:pt idx="3">
                  <c:v>2.1913333333333331</c:v>
                </c:pt>
                <c:pt idx="4">
                  <c:v>2.2601222222222224</c:v>
                </c:pt>
                <c:pt idx="5">
                  <c:v>2.3289111111111112</c:v>
                </c:pt>
                <c:pt idx="6">
                  <c:v>2.2336999999999998</c:v>
                </c:pt>
                <c:pt idx="7">
                  <c:v>2.302488888888889</c:v>
                </c:pt>
                <c:pt idx="8">
                  <c:v>2.3712777777777778</c:v>
                </c:pt>
                <c:pt idx="9">
                  <c:v>2.2760666666666665</c:v>
                </c:pt>
                <c:pt idx="10">
                  <c:v>2.3448555555555557</c:v>
                </c:pt>
                <c:pt idx="11">
                  <c:v>2.4136444444444445</c:v>
                </c:pt>
                <c:pt idx="12">
                  <c:v>2.3184333333333331</c:v>
                </c:pt>
                <c:pt idx="13">
                  <c:v>2.3872222222222224</c:v>
                </c:pt>
                <c:pt idx="14">
                  <c:v>2.4560111111111111</c:v>
                </c:pt>
                <c:pt idx="15">
                  <c:v>#N/A</c:v>
                </c:pt>
                <c:pt idx="16">
                  <c:v>2.0455555555555556</c:v>
                </c:pt>
                <c:pt idx="17">
                  <c:v>2.1093333333333333</c:v>
                </c:pt>
                <c:pt idx="18">
                  <c:v>2.0091111111111113</c:v>
                </c:pt>
                <c:pt idx="19">
                  <c:v>2.072888888888889</c:v>
                </c:pt>
                <c:pt idx="20">
                  <c:v>2.1366666666666667</c:v>
                </c:pt>
                <c:pt idx="21">
                  <c:v>2.0364444444444443</c:v>
                </c:pt>
                <c:pt idx="22">
                  <c:v>2.1002222222222224</c:v>
                </c:pt>
                <c:pt idx="23">
                  <c:v>2.1640000000000001</c:v>
                </c:pt>
                <c:pt idx="24">
                  <c:v>2.0637777777777777</c:v>
                </c:pt>
                <c:pt idx="25">
                  <c:v>2.1275555555555554</c:v>
                </c:pt>
                <c:pt idx="26">
                  <c:v>2.1913333333333331</c:v>
                </c:pt>
                <c:pt idx="27">
                  <c:v>2.0911111111111111</c:v>
                </c:pt>
                <c:pt idx="28">
                  <c:v>#N/A</c:v>
                </c:pt>
                <c:pt idx="29">
                  <c:v>2.4510000000000001</c:v>
                </c:pt>
                <c:pt idx="30">
                  <c:v>2.3595244444444443</c:v>
                </c:pt>
                <c:pt idx="31">
                  <c:v>2.4320488888888887</c:v>
                </c:pt>
                <c:pt idx="32">
                  <c:v>2.5046644444444444</c:v>
                </c:pt>
                <c:pt idx="33">
                  <c:v>2.413188888888889</c:v>
                </c:pt>
                <c:pt idx="34">
                  <c:v>2.4857133333333334</c:v>
                </c:pt>
                <c:pt idx="35">
                  <c:v>2.5582377777777778</c:v>
                </c:pt>
                <c:pt idx="36">
                  <c:v>2.4668533333333333</c:v>
                </c:pt>
                <c:pt idx="37">
                  <c:v>2.5393777777777777</c:v>
                </c:pt>
                <c:pt idx="38">
                  <c:v>2.6119022222222221</c:v>
                </c:pt>
                <c:pt idx="39">
                  <c:v>2.5204266666666668</c:v>
                </c:pt>
                <c:pt idx="40">
                  <c:v>2.593042222222222</c:v>
                </c:pt>
              </c:numCache>
            </c:numRef>
          </c:val>
          <c:smooth val="0"/>
          <c:extLst>
            <c:ext xmlns:c16="http://schemas.microsoft.com/office/drawing/2014/chart" uri="{C3380CC4-5D6E-409C-BE32-E72D297353CC}">
              <c16:uniqueId val="{00000005-B85C-44A5-B19E-04624DA4E15F}"/>
            </c:ext>
          </c:extLst>
        </c:ser>
        <c:ser>
          <c:idx val="5"/>
          <c:order val="5"/>
          <c:tx>
            <c:v>Plan</c:v>
          </c:tx>
          <c:spPr>
            <a:ln w="38100">
              <a:noFill/>
            </a:ln>
          </c:spPr>
          <c:marker>
            <c:symbol val="circle"/>
            <c:size val="4"/>
            <c:spPr>
              <a:solidFill>
                <a:srgbClr val="A6A6A6"/>
              </a:solidFill>
              <a:ln>
                <a:solidFill>
                  <a:srgbClr val="A6A6A6"/>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Dot!$AQ$24:$AQ$64</c:f>
              <c:numCache>
                <c:formatCode>General</c:formatCode>
                <c:ptCount val="41"/>
                <c:pt idx="0">
                  <c:v>#N/A</c:v>
                </c:pt>
                <c:pt idx="1">
                  <c:v>#N/A</c:v>
                </c:pt>
                <c:pt idx="2">
                  <c:v>#N/A</c:v>
                </c:pt>
                <c:pt idx="3">
                  <c:v>2.2017199999999999</c:v>
                </c:pt>
                <c:pt idx="4">
                  <c:v>2.2427199999999998</c:v>
                </c:pt>
                <c:pt idx="5">
                  <c:v>2.283811111111111</c:v>
                </c:pt>
                <c:pt idx="6">
                  <c:v>2.2428111111111111</c:v>
                </c:pt>
                <c:pt idx="7">
                  <c:v>2.283811111111111</c:v>
                </c:pt>
                <c:pt idx="8">
                  <c:v>2.3249022222222222</c:v>
                </c:pt>
                <c:pt idx="9">
                  <c:v>2.2839022222222223</c:v>
                </c:pt>
                <c:pt idx="10">
                  <c:v>2.3249022222222222</c:v>
                </c:pt>
                <c:pt idx="11">
                  <c:v>2.3659933333333334</c:v>
                </c:pt>
                <c:pt idx="12">
                  <c:v>2.3249933333333335</c:v>
                </c:pt>
                <c:pt idx="13">
                  <c:v>2.3660844444444442</c:v>
                </c:pt>
                <c:pt idx="14">
                  <c:v>2.4070844444444446</c:v>
                </c:pt>
                <c:pt idx="15">
                  <c:v>#N/A</c:v>
                </c:pt>
                <c:pt idx="16">
                  <c:v>2.0346222222222221</c:v>
                </c:pt>
                <c:pt idx="17">
                  <c:v>2.0707933333333335</c:v>
                </c:pt>
                <c:pt idx="18">
                  <c:v>2.0249644444444446</c:v>
                </c:pt>
                <c:pt idx="19">
                  <c:v>2.0611355555555555</c:v>
                </c:pt>
                <c:pt idx="20">
                  <c:v>2.0973066666666669</c:v>
                </c:pt>
                <c:pt idx="21">
                  <c:v>2.051477777777778</c:v>
                </c:pt>
                <c:pt idx="22">
                  <c:v>2.0876488888888889</c:v>
                </c:pt>
                <c:pt idx="23">
                  <c:v>2.1238199999999998</c:v>
                </c:pt>
                <c:pt idx="24">
                  <c:v>2.0779911111111113</c:v>
                </c:pt>
                <c:pt idx="25">
                  <c:v>2.1141622222222223</c:v>
                </c:pt>
                <c:pt idx="26">
                  <c:v>2.1503333333333332</c:v>
                </c:pt>
                <c:pt idx="27">
                  <c:v>2.1045044444444443</c:v>
                </c:pt>
                <c:pt idx="28">
                  <c:v>#N/A</c:v>
                </c:pt>
                <c:pt idx="29">
                  <c:v>2.4021644444444443</c:v>
                </c:pt>
                <c:pt idx="30">
                  <c:v>2.3649</c:v>
                </c:pt>
                <c:pt idx="31">
                  <c:v>2.4095444444444443</c:v>
                </c:pt>
                <c:pt idx="32">
                  <c:v>2.4542799999999998</c:v>
                </c:pt>
                <c:pt idx="33">
                  <c:v>2.4169244444444447</c:v>
                </c:pt>
                <c:pt idx="34">
                  <c:v>2.4615688888888889</c:v>
                </c:pt>
                <c:pt idx="35">
                  <c:v>2.5063044444444444</c:v>
                </c:pt>
                <c:pt idx="36">
                  <c:v>2.4689488888888889</c:v>
                </c:pt>
                <c:pt idx="37">
                  <c:v>2.5135933333333336</c:v>
                </c:pt>
                <c:pt idx="38">
                  <c:v>2.5583288888888891</c:v>
                </c:pt>
                <c:pt idx="39">
                  <c:v>2.5209733333333331</c:v>
                </c:pt>
                <c:pt idx="40">
                  <c:v>2.5656177777777778</c:v>
                </c:pt>
              </c:numCache>
            </c:numRef>
          </c:val>
          <c:smooth val="0"/>
          <c:extLst>
            <c:ext xmlns:c16="http://schemas.microsoft.com/office/drawing/2014/chart" uri="{C3380CC4-5D6E-409C-BE32-E72D297353CC}">
              <c16:uniqueId val="{00000006-B85C-44A5-B19E-04624DA4E15F}"/>
            </c:ext>
          </c:extLst>
        </c:ser>
        <c:ser>
          <c:idx val="6"/>
          <c:order val="6"/>
          <c:tx>
            <c:v>Actual</c:v>
          </c:tx>
          <c:spPr>
            <a:ln w="38100">
              <a:noFill/>
            </a:ln>
          </c:spPr>
          <c:marker>
            <c:symbol val="circle"/>
            <c:size val="4"/>
            <c:spPr>
              <a:solidFill>
                <a:srgbClr val="1F4E79"/>
              </a:solidFill>
              <a:ln>
                <a:solidFill>
                  <a:srgbClr val="1F4E79"/>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Dot!$AR$24:$AR$64</c:f>
              <c:numCache>
                <c:formatCode>General</c:formatCode>
                <c:ptCount val="41"/>
                <c:pt idx="0">
                  <c:v>#N/A</c:v>
                </c:pt>
                <c:pt idx="1">
                  <c:v>#N/A</c:v>
                </c:pt>
                <c:pt idx="2">
                  <c:v>#N/A</c:v>
                </c:pt>
                <c:pt idx="3">
                  <c:v>3.2414444444444444</c:v>
                </c:pt>
                <c:pt idx="4">
                  <c:v>3.3115088888888891</c:v>
                </c:pt>
                <c:pt idx="5">
                  <c:v>3.3815733333333333</c:v>
                </c:pt>
                <c:pt idx="6">
                  <c:v>3.2875466666666666</c:v>
                </c:pt>
                <c:pt idx="7">
                  <c:v>3.3576111111111109</c:v>
                </c:pt>
                <c:pt idx="8">
                  <c:v>3.4276755555555556</c:v>
                </c:pt>
                <c:pt idx="9">
                  <c:v>3.3336488888888889</c:v>
                </c:pt>
                <c:pt idx="10">
                  <c:v>3.4037133333333331</c:v>
                </c:pt>
                <c:pt idx="11">
                  <c:v>3.4737777777777779</c:v>
                </c:pt>
                <c:pt idx="12">
                  <c:v>3.379842222222222</c:v>
                </c:pt>
                <c:pt idx="13">
                  <c:v>3.4499066666666667</c:v>
                </c:pt>
                <c:pt idx="14">
                  <c:v>3.5198800000000001</c:v>
                </c:pt>
                <c:pt idx="15">
                  <c:v>#N/A</c:v>
                </c:pt>
                <c:pt idx="16">
                  <c:v>3.0956666666666668</c:v>
                </c:pt>
                <c:pt idx="17">
                  <c:v>3.16072</c:v>
                </c:pt>
                <c:pt idx="18">
                  <c:v>3.0617733333333335</c:v>
                </c:pt>
                <c:pt idx="19">
                  <c:v>3.1267355555555554</c:v>
                </c:pt>
                <c:pt idx="20">
                  <c:v>3.191788888888889</c:v>
                </c:pt>
                <c:pt idx="21">
                  <c:v>3.092842222222222</c:v>
                </c:pt>
                <c:pt idx="22">
                  <c:v>3.1578044444444444</c:v>
                </c:pt>
                <c:pt idx="23">
                  <c:v>3.2228577777777776</c:v>
                </c:pt>
                <c:pt idx="24">
                  <c:v>3.1239111111111111</c:v>
                </c:pt>
                <c:pt idx="25">
                  <c:v>3.1889644444444443</c:v>
                </c:pt>
                <c:pt idx="26">
                  <c:v>3.2540177777777779</c:v>
                </c:pt>
                <c:pt idx="27">
                  <c:v>3.1549800000000001</c:v>
                </c:pt>
                <c:pt idx="28">
                  <c:v>#N/A</c:v>
                </c:pt>
                <c:pt idx="29">
                  <c:v>3.5011111111111113</c:v>
                </c:pt>
                <c:pt idx="30">
                  <c:v>3.410911111111111</c:v>
                </c:pt>
                <c:pt idx="31">
                  <c:v>3.4847111111111113</c:v>
                </c:pt>
                <c:pt idx="32">
                  <c:v>3.5585111111111112</c:v>
                </c:pt>
                <c:pt idx="33">
                  <c:v>3.4683111111111109</c:v>
                </c:pt>
                <c:pt idx="34">
                  <c:v>3.5421111111111112</c:v>
                </c:pt>
                <c:pt idx="35">
                  <c:v>3.6159111111111111</c:v>
                </c:pt>
                <c:pt idx="36">
                  <c:v>3.5257111111111108</c:v>
                </c:pt>
                <c:pt idx="37">
                  <c:v>3.5995111111111111</c:v>
                </c:pt>
                <c:pt idx="38">
                  <c:v>3.673311111111111</c:v>
                </c:pt>
                <c:pt idx="39">
                  <c:v>3.5831111111111111</c:v>
                </c:pt>
                <c:pt idx="40">
                  <c:v>3.656911111111111</c:v>
                </c:pt>
              </c:numCache>
            </c:numRef>
          </c:val>
          <c:smooth val="0"/>
          <c:extLst>
            <c:ext xmlns:c16="http://schemas.microsoft.com/office/drawing/2014/chart" uri="{C3380CC4-5D6E-409C-BE32-E72D297353CC}">
              <c16:uniqueId val="{00000007-B85C-44A5-B19E-04624DA4E15F}"/>
            </c:ext>
          </c:extLst>
        </c:ser>
        <c:ser>
          <c:idx val="7"/>
          <c:order val="7"/>
          <c:tx>
            <c:v>Plan</c:v>
          </c:tx>
          <c:spPr>
            <a:ln w="38100">
              <a:noFill/>
            </a:ln>
          </c:spPr>
          <c:marker>
            <c:symbol val="circle"/>
            <c:size val="4"/>
            <c:spPr>
              <a:solidFill>
                <a:srgbClr val="A6A6A6"/>
              </a:solidFill>
              <a:ln>
                <a:solidFill>
                  <a:srgbClr val="A6A6A6"/>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Dot!$AS$24:$AS$64</c:f>
              <c:numCache>
                <c:formatCode>General</c:formatCode>
                <c:ptCount val="41"/>
                <c:pt idx="0">
                  <c:v>#N/A</c:v>
                </c:pt>
                <c:pt idx="1">
                  <c:v>#N/A</c:v>
                </c:pt>
                <c:pt idx="2">
                  <c:v>#N/A</c:v>
                </c:pt>
                <c:pt idx="3">
                  <c:v>3.2503733333333331</c:v>
                </c:pt>
                <c:pt idx="4">
                  <c:v>3.2925577777777777</c:v>
                </c:pt>
                <c:pt idx="5">
                  <c:v>3.3348333333333331</c:v>
                </c:pt>
                <c:pt idx="6">
                  <c:v>3.2951088888888886</c:v>
                </c:pt>
                <c:pt idx="7">
                  <c:v>3.3372933333333332</c:v>
                </c:pt>
                <c:pt idx="8">
                  <c:v>3.3795688888888891</c:v>
                </c:pt>
                <c:pt idx="9">
                  <c:v>3.3398444444444446</c:v>
                </c:pt>
                <c:pt idx="10">
                  <c:v>3.3820288888888888</c:v>
                </c:pt>
                <c:pt idx="11">
                  <c:v>3.4243044444444446</c:v>
                </c:pt>
                <c:pt idx="12">
                  <c:v>3.3845800000000001</c:v>
                </c:pt>
                <c:pt idx="13">
                  <c:v>3.4267644444444443</c:v>
                </c:pt>
                <c:pt idx="14">
                  <c:v>3.4690400000000001</c:v>
                </c:pt>
                <c:pt idx="15">
                  <c:v>#N/A</c:v>
                </c:pt>
                <c:pt idx="16">
                  <c:v>3.0831844444444445</c:v>
                </c:pt>
                <c:pt idx="17">
                  <c:v>3.1206311111111109</c:v>
                </c:pt>
                <c:pt idx="18">
                  <c:v>3.0759866666666666</c:v>
                </c:pt>
                <c:pt idx="19">
                  <c:v>3.1134333333333335</c:v>
                </c:pt>
                <c:pt idx="20">
                  <c:v>3.1507888888888891</c:v>
                </c:pt>
                <c:pt idx="21">
                  <c:v>3.1061444444444444</c:v>
                </c:pt>
                <c:pt idx="22">
                  <c:v>3.1435911111111112</c:v>
                </c:pt>
                <c:pt idx="23">
                  <c:v>3.1809466666666668</c:v>
                </c:pt>
                <c:pt idx="24">
                  <c:v>3.1363022222222221</c:v>
                </c:pt>
                <c:pt idx="25">
                  <c:v>3.173748888888889</c:v>
                </c:pt>
                <c:pt idx="26">
                  <c:v>3.2111044444444445</c:v>
                </c:pt>
                <c:pt idx="27">
                  <c:v>3.1664599999999998</c:v>
                </c:pt>
                <c:pt idx="28">
                  <c:v>#N/A</c:v>
                </c:pt>
                <c:pt idx="29">
                  <c:v>3.4508177777777775</c:v>
                </c:pt>
                <c:pt idx="30">
                  <c:v>3.4147377777777779</c:v>
                </c:pt>
                <c:pt idx="31">
                  <c:v>3.4605666666666668</c:v>
                </c:pt>
                <c:pt idx="32">
                  <c:v>3.5064866666666665</c:v>
                </c:pt>
                <c:pt idx="33">
                  <c:v>3.4704066666666664</c:v>
                </c:pt>
                <c:pt idx="34">
                  <c:v>3.5162355555555553</c:v>
                </c:pt>
                <c:pt idx="35">
                  <c:v>3.5621555555555555</c:v>
                </c:pt>
                <c:pt idx="36">
                  <c:v>3.5260755555555554</c:v>
                </c:pt>
                <c:pt idx="37">
                  <c:v>3.5719955555555556</c:v>
                </c:pt>
                <c:pt idx="38">
                  <c:v>3.6178244444444445</c:v>
                </c:pt>
                <c:pt idx="39">
                  <c:v>3.5817444444444444</c:v>
                </c:pt>
                <c:pt idx="40">
                  <c:v>3.6276644444444446</c:v>
                </c:pt>
              </c:numCache>
            </c:numRef>
          </c:val>
          <c:smooth val="0"/>
          <c:extLst>
            <c:ext xmlns:c16="http://schemas.microsoft.com/office/drawing/2014/chart" uri="{C3380CC4-5D6E-409C-BE32-E72D297353CC}">
              <c16:uniqueId val="{00000008-B85C-44A5-B19E-04624DA4E15F}"/>
            </c:ext>
          </c:extLst>
        </c:ser>
        <c:ser>
          <c:idx val="8"/>
          <c:order val="8"/>
          <c:tx>
            <c:v>Actual</c:v>
          </c:tx>
          <c:spPr>
            <a:ln w="38100">
              <a:noFill/>
            </a:ln>
          </c:spPr>
          <c:marker>
            <c:symbol val="circle"/>
            <c:size val="4"/>
            <c:spPr>
              <a:solidFill>
                <a:srgbClr val="1F4E79"/>
              </a:solidFill>
              <a:ln>
                <a:solidFill>
                  <a:srgbClr val="1F4E79"/>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Dot!$AT$24:$AT$64</c:f>
              <c:numCache>
                <c:formatCode>General</c:formatCode>
                <c:ptCount val="41"/>
                <c:pt idx="0">
                  <c:v>#N/A</c:v>
                </c:pt>
                <c:pt idx="1">
                  <c:v>#N/A</c:v>
                </c:pt>
                <c:pt idx="2">
                  <c:v>#N/A</c:v>
                </c:pt>
                <c:pt idx="3">
                  <c:v>4.291555555555556</c:v>
                </c:pt>
                <c:pt idx="4">
                  <c:v>4.3628044444444445</c:v>
                </c:pt>
                <c:pt idx="5">
                  <c:v>4.4341444444444447</c:v>
                </c:pt>
                <c:pt idx="6">
                  <c:v>4.3414844444444443</c:v>
                </c:pt>
                <c:pt idx="7">
                  <c:v>4.4127333333333336</c:v>
                </c:pt>
                <c:pt idx="8">
                  <c:v>4.4839822222222221</c:v>
                </c:pt>
                <c:pt idx="9">
                  <c:v>4.3913222222222226</c:v>
                </c:pt>
                <c:pt idx="10">
                  <c:v>4.4626622222222219</c:v>
                </c:pt>
                <c:pt idx="11">
                  <c:v>4.5339111111111112</c:v>
                </c:pt>
                <c:pt idx="12">
                  <c:v>4.4412511111111108</c:v>
                </c:pt>
                <c:pt idx="13">
                  <c:v>4.5125000000000002</c:v>
                </c:pt>
                <c:pt idx="14">
                  <c:v>4.5837488888888887</c:v>
                </c:pt>
                <c:pt idx="15">
                  <c:v>#N/A</c:v>
                </c:pt>
                <c:pt idx="16">
                  <c:v>4.145777777777778</c:v>
                </c:pt>
                <c:pt idx="17">
                  <c:v>4.2121066666666662</c:v>
                </c:pt>
                <c:pt idx="18">
                  <c:v>4.1143444444444448</c:v>
                </c:pt>
                <c:pt idx="19">
                  <c:v>4.1805822222222222</c:v>
                </c:pt>
                <c:pt idx="20">
                  <c:v>4.2469111111111113</c:v>
                </c:pt>
                <c:pt idx="21">
                  <c:v>4.1492399999999998</c:v>
                </c:pt>
                <c:pt idx="22">
                  <c:v>4.2154777777777781</c:v>
                </c:pt>
                <c:pt idx="23">
                  <c:v>4.2817155555555555</c:v>
                </c:pt>
                <c:pt idx="24">
                  <c:v>4.184044444444444</c:v>
                </c:pt>
                <c:pt idx="25">
                  <c:v>4.2503733333333331</c:v>
                </c:pt>
                <c:pt idx="26">
                  <c:v>4.3166111111111114</c:v>
                </c:pt>
                <c:pt idx="27">
                  <c:v>4.2188488888888891</c:v>
                </c:pt>
                <c:pt idx="28">
                  <c:v>#N/A</c:v>
                </c:pt>
                <c:pt idx="29">
                  <c:v>4.5512222222222221</c:v>
                </c:pt>
                <c:pt idx="30">
                  <c:v>4.4622977777777777</c:v>
                </c:pt>
                <c:pt idx="31">
                  <c:v>4.537373333333333</c:v>
                </c:pt>
                <c:pt idx="32">
                  <c:v>4.6123577777777776</c:v>
                </c:pt>
                <c:pt idx="33">
                  <c:v>4.5234333333333332</c:v>
                </c:pt>
                <c:pt idx="34">
                  <c:v>4.5985088888888885</c:v>
                </c:pt>
                <c:pt idx="35">
                  <c:v>4.6734933333333331</c:v>
                </c:pt>
                <c:pt idx="36">
                  <c:v>4.5845688888888887</c:v>
                </c:pt>
                <c:pt idx="37">
                  <c:v>4.659644444444444</c:v>
                </c:pt>
                <c:pt idx="38">
                  <c:v>4.7347200000000003</c:v>
                </c:pt>
                <c:pt idx="39">
                  <c:v>4.645795555555555</c:v>
                </c:pt>
                <c:pt idx="40">
                  <c:v>4.7207799999999995</c:v>
                </c:pt>
              </c:numCache>
            </c:numRef>
          </c:val>
          <c:smooth val="0"/>
          <c:extLst>
            <c:ext xmlns:c16="http://schemas.microsoft.com/office/drawing/2014/chart" uri="{C3380CC4-5D6E-409C-BE32-E72D297353CC}">
              <c16:uniqueId val="{00000009-B85C-44A5-B19E-04624DA4E15F}"/>
            </c:ext>
          </c:extLst>
        </c:ser>
        <c:ser>
          <c:idx val="9"/>
          <c:order val="9"/>
          <c:tx>
            <c:v>Plan</c:v>
          </c:tx>
          <c:spPr>
            <a:ln w="38100">
              <a:noFill/>
            </a:ln>
          </c:spPr>
          <c:marker>
            <c:symbol val="circle"/>
            <c:size val="4"/>
            <c:spPr>
              <a:solidFill>
                <a:srgbClr val="A6A6A6"/>
              </a:solidFill>
              <a:ln>
                <a:solidFill>
                  <a:srgbClr val="A6A6A6"/>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Dot!$AU$24:$AU$64</c:f>
              <c:numCache>
                <c:formatCode>General</c:formatCode>
                <c:ptCount val="41"/>
                <c:pt idx="0">
                  <c:v>#N/A</c:v>
                </c:pt>
                <c:pt idx="1">
                  <c:v>#N/A</c:v>
                </c:pt>
                <c:pt idx="2">
                  <c:v>#N/A</c:v>
                </c:pt>
                <c:pt idx="3">
                  <c:v>4.2989355555555555</c:v>
                </c:pt>
                <c:pt idx="4">
                  <c:v>4.3423955555555551</c:v>
                </c:pt>
                <c:pt idx="5">
                  <c:v>4.3858555555555556</c:v>
                </c:pt>
                <c:pt idx="6">
                  <c:v>4.3473155555555554</c:v>
                </c:pt>
                <c:pt idx="7">
                  <c:v>4.3907755555555559</c:v>
                </c:pt>
                <c:pt idx="8">
                  <c:v>4.4342355555555555</c:v>
                </c:pt>
                <c:pt idx="9">
                  <c:v>4.3956955555555552</c:v>
                </c:pt>
                <c:pt idx="10">
                  <c:v>4.4391555555555557</c:v>
                </c:pt>
                <c:pt idx="11">
                  <c:v>4.4826155555555554</c:v>
                </c:pt>
                <c:pt idx="12">
                  <c:v>4.4440755555555551</c:v>
                </c:pt>
                <c:pt idx="13">
                  <c:v>4.4875355555555556</c:v>
                </c:pt>
                <c:pt idx="14">
                  <c:v>4.5309955555555552</c:v>
                </c:pt>
                <c:pt idx="15">
                  <c:v>#N/A</c:v>
                </c:pt>
                <c:pt idx="16">
                  <c:v>4.1318377777777782</c:v>
                </c:pt>
                <c:pt idx="17">
                  <c:v>4.1704688888888892</c:v>
                </c:pt>
                <c:pt idx="18">
                  <c:v>4.1270088888888887</c:v>
                </c:pt>
                <c:pt idx="19">
                  <c:v>4.1656399999999998</c:v>
                </c:pt>
                <c:pt idx="20">
                  <c:v>4.2042711111111108</c:v>
                </c:pt>
                <c:pt idx="21">
                  <c:v>4.1608111111111112</c:v>
                </c:pt>
                <c:pt idx="22">
                  <c:v>4.1994422222222223</c:v>
                </c:pt>
                <c:pt idx="23">
                  <c:v>4.2380733333333334</c:v>
                </c:pt>
                <c:pt idx="24">
                  <c:v>4.1946133333333337</c:v>
                </c:pt>
                <c:pt idx="25">
                  <c:v>4.2332444444444448</c:v>
                </c:pt>
                <c:pt idx="26">
                  <c:v>4.2718755555555559</c:v>
                </c:pt>
                <c:pt idx="27">
                  <c:v>4.2284155555555554</c:v>
                </c:pt>
                <c:pt idx="28">
                  <c:v>#N/A</c:v>
                </c:pt>
                <c:pt idx="29">
                  <c:v>4.4993800000000004</c:v>
                </c:pt>
                <c:pt idx="30">
                  <c:v>4.4645755555555553</c:v>
                </c:pt>
                <c:pt idx="31">
                  <c:v>4.5116800000000001</c:v>
                </c:pt>
                <c:pt idx="32">
                  <c:v>4.5587844444444441</c:v>
                </c:pt>
                <c:pt idx="33">
                  <c:v>4.5238888888888891</c:v>
                </c:pt>
                <c:pt idx="34">
                  <c:v>4.570993333333333</c:v>
                </c:pt>
                <c:pt idx="35">
                  <c:v>4.6180977777777779</c:v>
                </c:pt>
                <c:pt idx="36">
                  <c:v>4.583202222222222</c:v>
                </c:pt>
                <c:pt idx="37">
                  <c:v>4.6303066666666668</c:v>
                </c:pt>
                <c:pt idx="38">
                  <c:v>4.6774111111111107</c:v>
                </c:pt>
                <c:pt idx="39">
                  <c:v>4.6425155555555557</c:v>
                </c:pt>
                <c:pt idx="40">
                  <c:v>4.6896199999999997</c:v>
                </c:pt>
              </c:numCache>
            </c:numRef>
          </c:val>
          <c:smooth val="0"/>
          <c:extLst>
            <c:ext xmlns:c16="http://schemas.microsoft.com/office/drawing/2014/chart" uri="{C3380CC4-5D6E-409C-BE32-E72D297353CC}">
              <c16:uniqueId val="{0000000A-B85C-44A5-B19E-04624DA4E15F}"/>
            </c:ext>
          </c:extLst>
        </c:ser>
        <c:ser>
          <c:idx val="10"/>
          <c:order val="10"/>
          <c:tx>
            <c:v>Actual</c:v>
          </c:tx>
          <c:spPr>
            <a:ln w="38100">
              <a:noFill/>
            </a:ln>
          </c:spPr>
          <c:marker>
            <c:symbol val="circle"/>
            <c:size val="4"/>
            <c:spPr>
              <a:solidFill>
                <a:srgbClr val="1F4E79"/>
              </a:solidFill>
              <a:ln>
                <a:solidFill>
                  <a:srgbClr val="1F4E79"/>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Dot!$AV$24:$AV$64</c:f>
              <c:numCache>
                <c:formatCode>General</c:formatCode>
                <c:ptCount val="41"/>
                <c:pt idx="0">
                  <c:v>#N/A</c:v>
                </c:pt>
                <c:pt idx="1">
                  <c:v>#N/A</c:v>
                </c:pt>
                <c:pt idx="2">
                  <c:v>#N/A</c:v>
                </c:pt>
                <c:pt idx="3">
                  <c:v>5.3416666666666668</c:v>
                </c:pt>
                <c:pt idx="4">
                  <c:v>5.4141911111111112</c:v>
                </c:pt>
                <c:pt idx="5">
                  <c:v>5.4867155555555556</c:v>
                </c:pt>
                <c:pt idx="6">
                  <c:v>5.3953311111111111</c:v>
                </c:pt>
                <c:pt idx="7">
                  <c:v>5.4678555555555555</c:v>
                </c:pt>
                <c:pt idx="8">
                  <c:v>5.5403799999999999</c:v>
                </c:pt>
                <c:pt idx="9">
                  <c:v>5.4489044444444446</c:v>
                </c:pt>
                <c:pt idx="10">
                  <c:v>5.5215199999999998</c:v>
                </c:pt>
                <c:pt idx="11">
                  <c:v>5.5940444444444442</c:v>
                </c:pt>
                <c:pt idx="12">
                  <c:v>5.5025688888888888</c:v>
                </c:pt>
                <c:pt idx="13">
                  <c:v>5.5750933333333332</c:v>
                </c:pt>
                <c:pt idx="14">
                  <c:v>5.6477088888888893</c:v>
                </c:pt>
                <c:pt idx="15">
                  <c:v>#N/A</c:v>
                </c:pt>
                <c:pt idx="16">
                  <c:v>5.1958888888888888</c:v>
                </c:pt>
                <c:pt idx="17">
                  <c:v>5.2634022222222221</c:v>
                </c:pt>
                <c:pt idx="18">
                  <c:v>5.1669155555555557</c:v>
                </c:pt>
                <c:pt idx="19">
                  <c:v>5.2345199999999998</c:v>
                </c:pt>
                <c:pt idx="20">
                  <c:v>5.3020333333333332</c:v>
                </c:pt>
                <c:pt idx="21">
                  <c:v>5.2055466666666668</c:v>
                </c:pt>
                <c:pt idx="22">
                  <c:v>5.2731511111111109</c:v>
                </c:pt>
                <c:pt idx="23">
                  <c:v>5.3406644444444442</c:v>
                </c:pt>
                <c:pt idx="24">
                  <c:v>5.2441777777777778</c:v>
                </c:pt>
                <c:pt idx="25">
                  <c:v>5.3116911111111111</c:v>
                </c:pt>
                <c:pt idx="26">
                  <c:v>5.3792044444444445</c:v>
                </c:pt>
                <c:pt idx="27">
                  <c:v>5.2828088888888889</c:v>
                </c:pt>
                <c:pt idx="28">
                  <c:v>#N/A</c:v>
                </c:pt>
                <c:pt idx="29">
                  <c:v>5.6013333333333328</c:v>
                </c:pt>
                <c:pt idx="30">
                  <c:v>5.5135933333333336</c:v>
                </c:pt>
                <c:pt idx="31">
                  <c:v>5.5899444444444448</c:v>
                </c:pt>
                <c:pt idx="32">
                  <c:v>5.6662044444444444</c:v>
                </c:pt>
                <c:pt idx="33">
                  <c:v>5.5785555555555559</c:v>
                </c:pt>
                <c:pt idx="34">
                  <c:v>5.6549066666666663</c:v>
                </c:pt>
                <c:pt idx="35">
                  <c:v>5.7311666666666667</c:v>
                </c:pt>
                <c:pt idx="36">
                  <c:v>5.6434266666666666</c:v>
                </c:pt>
                <c:pt idx="37">
                  <c:v>5.7197777777777778</c:v>
                </c:pt>
                <c:pt idx="38">
                  <c:v>5.7961288888888891</c:v>
                </c:pt>
                <c:pt idx="39">
                  <c:v>5.708388888888889</c:v>
                </c:pt>
                <c:pt idx="40">
                  <c:v>5.7846488888888885</c:v>
                </c:pt>
              </c:numCache>
            </c:numRef>
          </c:val>
          <c:smooth val="0"/>
          <c:extLst>
            <c:ext xmlns:c16="http://schemas.microsoft.com/office/drawing/2014/chart" uri="{C3380CC4-5D6E-409C-BE32-E72D297353CC}">
              <c16:uniqueId val="{0000000B-B85C-44A5-B19E-04624DA4E15F}"/>
            </c:ext>
          </c:extLst>
        </c:ser>
        <c:ser>
          <c:idx val="11"/>
          <c:order val="11"/>
          <c:tx>
            <c:v>Plan</c:v>
          </c:tx>
          <c:spPr>
            <a:ln w="38100">
              <a:noFill/>
            </a:ln>
          </c:spPr>
          <c:marker>
            <c:symbol val="circle"/>
            <c:size val="4"/>
            <c:spPr>
              <a:solidFill>
                <a:srgbClr val="A6A6A6"/>
              </a:solidFill>
              <a:ln>
                <a:solidFill>
                  <a:srgbClr val="A6A6A6"/>
                </a:solidFill>
                <a:prstDash val="solid"/>
              </a:ln>
            </c:spPr>
          </c:marker>
          <c:cat>
            <c:strRef>
              <c:f>Dot!$AK$24:$AK$64</c:f>
              <c:strCache>
                <c:ptCount val="39"/>
                <c:pt idx="3">
                  <c:v>Jan</c:v>
                </c:pt>
                <c:pt idx="6">
                  <c:v>Apr</c:v>
                </c:pt>
                <c:pt idx="9">
                  <c:v>Jul</c:v>
                </c:pt>
                <c:pt idx="12">
                  <c:v>Oct</c:v>
                </c:pt>
                <c:pt idx="16">
                  <c:v>Jan</c:v>
                </c:pt>
                <c:pt idx="19">
                  <c:v>Apr</c:v>
                </c:pt>
                <c:pt idx="22">
                  <c:v>Jul</c:v>
                </c:pt>
                <c:pt idx="25">
                  <c:v>Oct</c:v>
                </c:pt>
                <c:pt idx="29">
                  <c:v>Jan</c:v>
                </c:pt>
                <c:pt idx="32">
                  <c:v>Apr</c:v>
                </c:pt>
                <c:pt idx="35">
                  <c:v>Jul</c:v>
                </c:pt>
                <c:pt idx="38">
                  <c:v>Oct</c:v>
                </c:pt>
              </c:strCache>
            </c:strRef>
          </c:cat>
          <c:val>
            <c:numRef>
              <c:f>Dot!$AW$24:$AW$64</c:f>
              <c:numCache>
                <c:formatCode>General</c:formatCode>
                <c:ptCount val="41"/>
                <c:pt idx="0">
                  <c:v>#N/A</c:v>
                </c:pt>
                <c:pt idx="1">
                  <c:v>#N/A</c:v>
                </c:pt>
                <c:pt idx="2">
                  <c:v>#N/A</c:v>
                </c:pt>
                <c:pt idx="3">
                  <c:v>5.3474977777777779</c:v>
                </c:pt>
                <c:pt idx="4">
                  <c:v>5.3922333333333334</c:v>
                </c:pt>
                <c:pt idx="5">
                  <c:v>5.4368777777777781</c:v>
                </c:pt>
                <c:pt idx="6">
                  <c:v>5.3996133333333329</c:v>
                </c:pt>
                <c:pt idx="7">
                  <c:v>5.4442577777777776</c:v>
                </c:pt>
                <c:pt idx="8">
                  <c:v>5.4889022222222223</c:v>
                </c:pt>
                <c:pt idx="9">
                  <c:v>5.451637777777778</c:v>
                </c:pt>
                <c:pt idx="10">
                  <c:v>5.4962822222222218</c:v>
                </c:pt>
                <c:pt idx="11">
                  <c:v>5.5409266666666666</c:v>
                </c:pt>
                <c:pt idx="12">
                  <c:v>5.5036622222222222</c:v>
                </c:pt>
                <c:pt idx="13">
                  <c:v>5.5483066666666669</c:v>
                </c:pt>
                <c:pt idx="14">
                  <c:v>5.5929511111111108</c:v>
                </c:pt>
                <c:pt idx="15">
                  <c:v>#N/A</c:v>
                </c:pt>
                <c:pt idx="16">
                  <c:v>5.1803999999999997</c:v>
                </c:pt>
                <c:pt idx="17">
                  <c:v>5.2203066666666667</c:v>
                </c:pt>
                <c:pt idx="18">
                  <c:v>5.1781222222222221</c:v>
                </c:pt>
                <c:pt idx="19">
                  <c:v>5.2179377777777782</c:v>
                </c:pt>
                <c:pt idx="20">
                  <c:v>5.2577533333333335</c:v>
                </c:pt>
                <c:pt idx="21">
                  <c:v>5.2155688888888889</c:v>
                </c:pt>
                <c:pt idx="22">
                  <c:v>5.2553844444444442</c:v>
                </c:pt>
                <c:pt idx="23">
                  <c:v>5.2952000000000004</c:v>
                </c:pt>
                <c:pt idx="24">
                  <c:v>5.2530155555555558</c:v>
                </c:pt>
                <c:pt idx="25">
                  <c:v>5.292831111111111</c:v>
                </c:pt>
                <c:pt idx="26">
                  <c:v>5.3326466666666663</c:v>
                </c:pt>
                <c:pt idx="27">
                  <c:v>5.2904622222222226</c:v>
                </c:pt>
                <c:pt idx="28">
                  <c:v>#N/A</c:v>
                </c:pt>
                <c:pt idx="29">
                  <c:v>5.5480333333333336</c:v>
                </c:pt>
                <c:pt idx="30">
                  <c:v>5.5143222222222219</c:v>
                </c:pt>
                <c:pt idx="31">
                  <c:v>5.5627022222222227</c:v>
                </c:pt>
                <c:pt idx="32">
                  <c:v>5.6109911111111108</c:v>
                </c:pt>
                <c:pt idx="33">
                  <c:v>5.57728</c:v>
                </c:pt>
                <c:pt idx="34">
                  <c:v>5.6256599999999999</c:v>
                </c:pt>
                <c:pt idx="35">
                  <c:v>5.6739488888888889</c:v>
                </c:pt>
                <c:pt idx="36">
                  <c:v>5.6403288888888889</c:v>
                </c:pt>
                <c:pt idx="37">
                  <c:v>5.688617777777778</c:v>
                </c:pt>
                <c:pt idx="38">
                  <c:v>5.7369066666666662</c:v>
                </c:pt>
                <c:pt idx="39">
                  <c:v>5.7032866666666671</c:v>
                </c:pt>
                <c:pt idx="40">
                  <c:v>5.7515755555555561</c:v>
                </c:pt>
              </c:numCache>
            </c:numRef>
          </c:val>
          <c:smooth val="0"/>
          <c:extLst>
            <c:ext xmlns:c16="http://schemas.microsoft.com/office/drawing/2014/chart" uri="{C3380CC4-5D6E-409C-BE32-E72D297353CC}">
              <c16:uniqueId val="{0000000C-B85C-44A5-B19E-04624DA4E15F}"/>
            </c:ext>
          </c:extLst>
        </c:ser>
        <c:dLbls>
          <c:showLegendKey val="0"/>
          <c:showVal val="0"/>
          <c:showCatName val="0"/>
          <c:showSerName val="0"/>
          <c:showPercent val="0"/>
          <c:showBubbleSize val="0"/>
        </c:dLbls>
        <c:marker val="1"/>
        <c:smooth val="0"/>
        <c:axId val="506449167"/>
        <c:axId val="1904829903"/>
      </c:lineChart>
      <c:scatterChart>
        <c:scatterStyle val="lineMarker"/>
        <c:varyColors val="0"/>
        <c:ser>
          <c:idx val="12"/>
          <c:order val="12"/>
          <c:tx>
            <c:v>divider</c:v>
          </c:tx>
          <c:spPr>
            <a:ln w="9525">
              <a:solidFill>
                <a:srgbClr val="BFBFBF"/>
              </a:solidFill>
            </a:ln>
          </c:spPr>
          <c:marker>
            <c:symbol val="none"/>
          </c:marker>
          <c:xVal>
            <c:numRef>
              <c:f>Dot!$BL$24:$BL$29</c:f>
              <c:numCache>
                <c:formatCode>General</c:formatCode>
                <c:ptCount val="6"/>
                <c:pt idx="0">
                  <c:v>16</c:v>
                </c:pt>
                <c:pt idx="1">
                  <c:v>16</c:v>
                </c:pt>
                <c:pt idx="2">
                  <c:v>16</c:v>
                </c:pt>
                <c:pt idx="3">
                  <c:v>29</c:v>
                </c:pt>
                <c:pt idx="4">
                  <c:v>29</c:v>
                </c:pt>
                <c:pt idx="5">
                  <c:v>29</c:v>
                </c:pt>
              </c:numCache>
            </c:numRef>
          </c:xVal>
          <c:yVal>
            <c:numRef>
              <c:f>Dot!$BM$24:$BM$29</c:f>
              <c:numCache>
                <c:formatCode>General</c:formatCode>
                <c:ptCount val="6"/>
                <c:pt idx="0">
                  <c:v>0</c:v>
                </c:pt>
                <c:pt idx="1">
                  <c:v>6</c:v>
                </c:pt>
                <c:pt idx="2">
                  <c:v>#N/A</c:v>
                </c:pt>
                <c:pt idx="3">
                  <c:v>0</c:v>
                </c:pt>
                <c:pt idx="4">
                  <c:v>6</c:v>
                </c:pt>
                <c:pt idx="5">
                  <c:v>#N/A</c:v>
                </c:pt>
              </c:numCache>
            </c:numRef>
          </c:yVal>
          <c:smooth val="0"/>
          <c:extLst>
            <c:ext xmlns:c16="http://schemas.microsoft.com/office/drawing/2014/chart" uri="{C3380CC4-5D6E-409C-BE32-E72D297353CC}">
              <c16:uniqueId val="{0000000D-B85C-44A5-B19E-04624DA4E15F}"/>
            </c:ext>
          </c:extLst>
        </c:ser>
        <c:ser>
          <c:idx val="13"/>
          <c:order val="13"/>
          <c:tx>
            <c:v>bandrule</c:v>
          </c:tx>
          <c:spPr>
            <a:ln w="9525">
              <a:solidFill>
                <a:srgbClr val="BFBFBF"/>
              </a:solidFill>
            </a:ln>
          </c:spPr>
          <c:marker>
            <c:symbol val="none"/>
          </c:marker>
          <c:xVal>
            <c:numRef>
              <c:f>Dot!$BO$24:$BO$38</c:f>
              <c:numCache>
                <c:formatCode>General</c:formatCode>
                <c:ptCount val="15"/>
                <c:pt idx="0">
                  <c:v>0.5</c:v>
                </c:pt>
                <c:pt idx="1">
                  <c:v>41.5</c:v>
                </c:pt>
                <c:pt idx="2">
                  <c:v>41.5</c:v>
                </c:pt>
                <c:pt idx="3">
                  <c:v>0.5</c:v>
                </c:pt>
                <c:pt idx="4">
                  <c:v>41.5</c:v>
                </c:pt>
                <c:pt idx="5">
                  <c:v>41.5</c:v>
                </c:pt>
                <c:pt idx="6">
                  <c:v>0.5</c:v>
                </c:pt>
                <c:pt idx="7">
                  <c:v>41.5</c:v>
                </c:pt>
                <c:pt idx="8">
                  <c:v>41.5</c:v>
                </c:pt>
                <c:pt idx="9">
                  <c:v>0.5</c:v>
                </c:pt>
                <c:pt idx="10">
                  <c:v>41.5</c:v>
                </c:pt>
                <c:pt idx="11">
                  <c:v>41.5</c:v>
                </c:pt>
                <c:pt idx="12">
                  <c:v>0.5</c:v>
                </c:pt>
                <c:pt idx="13">
                  <c:v>41.5</c:v>
                </c:pt>
                <c:pt idx="14">
                  <c:v>41.5</c:v>
                </c:pt>
              </c:numCache>
            </c:numRef>
          </c:xVal>
          <c:yVal>
            <c:numRef>
              <c:f>Dot!$BP$24:$BP$38</c:f>
              <c:numCache>
                <c:formatCode>General</c:formatCode>
                <c:ptCount val="15"/>
                <c:pt idx="0">
                  <c:v>0.90999999999999992</c:v>
                </c:pt>
                <c:pt idx="1">
                  <c:v>0.90999999999999992</c:v>
                </c:pt>
                <c:pt idx="2">
                  <c:v>#N/A</c:v>
                </c:pt>
                <c:pt idx="3">
                  <c:v>1.91</c:v>
                </c:pt>
                <c:pt idx="4">
                  <c:v>1.91</c:v>
                </c:pt>
                <c:pt idx="5">
                  <c:v>#N/A</c:v>
                </c:pt>
                <c:pt idx="6">
                  <c:v>2.91</c:v>
                </c:pt>
                <c:pt idx="7">
                  <c:v>2.91</c:v>
                </c:pt>
                <c:pt idx="8">
                  <c:v>#N/A</c:v>
                </c:pt>
                <c:pt idx="9">
                  <c:v>3.91</c:v>
                </c:pt>
                <c:pt idx="10">
                  <c:v>3.91</c:v>
                </c:pt>
                <c:pt idx="11">
                  <c:v>#N/A</c:v>
                </c:pt>
                <c:pt idx="12">
                  <c:v>4.91</c:v>
                </c:pt>
                <c:pt idx="13">
                  <c:v>4.91</c:v>
                </c:pt>
                <c:pt idx="14">
                  <c:v>#N/A</c:v>
                </c:pt>
              </c:numCache>
            </c:numRef>
          </c:yVal>
          <c:smooth val="0"/>
          <c:extLst>
            <c:ext xmlns:c16="http://schemas.microsoft.com/office/drawing/2014/chart" uri="{C3380CC4-5D6E-409C-BE32-E72D297353CC}">
              <c16:uniqueId val="{0000000E-B85C-44A5-B19E-04624DA4E15F}"/>
            </c:ext>
          </c:extLst>
        </c:ser>
        <c:ser>
          <c:idx val="14"/>
          <c:order val="14"/>
          <c:tx>
            <c:v>baseline</c:v>
          </c:tx>
          <c:spPr>
            <a:ln w="9525">
              <a:solidFill>
                <a:srgbClr val="808080"/>
              </a:solidFill>
            </a:ln>
          </c:spPr>
          <c:marker>
            <c:symbol val="none"/>
          </c:marker>
          <c:xVal>
            <c:numRef>
              <c:f>Dot!$BR$24:$BR$62</c:f>
              <c:numCache>
                <c:formatCode>General</c:formatCode>
                <c:ptCount val="39"/>
                <c:pt idx="0">
                  <c:v>3.5</c:v>
                </c:pt>
                <c:pt idx="1">
                  <c:v>15.5</c:v>
                </c:pt>
                <c:pt idx="2">
                  <c:v>15.5</c:v>
                </c:pt>
                <c:pt idx="3">
                  <c:v>16.5</c:v>
                </c:pt>
                <c:pt idx="4">
                  <c:v>28.5</c:v>
                </c:pt>
                <c:pt idx="5">
                  <c:v>28.5</c:v>
                </c:pt>
                <c:pt idx="6">
                  <c:v>29.5</c:v>
                </c:pt>
                <c:pt idx="7">
                  <c:v>41.5</c:v>
                </c:pt>
                <c:pt idx="8">
                  <c:v>41.5</c:v>
                </c:pt>
                <c:pt idx="9">
                  <c:v>3.5</c:v>
                </c:pt>
                <c:pt idx="10">
                  <c:v>15.5</c:v>
                </c:pt>
                <c:pt idx="11">
                  <c:v>15.5</c:v>
                </c:pt>
                <c:pt idx="12">
                  <c:v>16.5</c:v>
                </c:pt>
                <c:pt idx="13">
                  <c:v>28.5</c:v>
                </c:pt>
                <c:pt idx="14">
                  <c:v>28.5</c:v>
                </c:pt>
                <c:pt idx="15">
                  <c:v>29.5</c:v>
                </c:pt>
                <c:pt idx="16">
                  <c:v>41.5</c:v>
                </c:pt>
                <c:pt idx="17">
                  <c:v>41.5</c:v>
                </c:pt>
                <c:pt idx="18">
                  <c:v>3.5</c:v>
                </c:pt>
                <c:pt idx="19">
                  <c:v>15.5</c:v>
                </c:pt>
                <c:pt idx="20">
                  <c:v>15.5</c:v>
                </c:pt>
                <c:pt idx="21">
                  <c:v>16.5</c:v>
                </c:pt>
                <c:pt idx="22">
                  <c:v>28.5</c:v>
                </c:pt>
                <c:pt idx="23">
                  <c:v>28.5</c:v>
                </c:pt>
                <c:pt idx="24">
                  <c:v>29.5</c:v>
                </c:pt>
                <c:pt idx="25">
                  <c:v>41.5</c:v>
                </c:pt>
                <c:pt idx="26">
                  <c:v>41.5</c:v>
                </c:pt>
                <c:pt idx="27">
                  <c:v>3.5</c:v>
                </c:pt>
                <c:pt idx="28">
                  <c:v>15.5</c:v>
                </c:pt>
                <c:pt idx="29">
                  <c:v>15.5</c:v>
                </c:pt>
                <c:pt idx="30">
                  <c:v>16.5</c:v>
                </c:pt>
                <c:pt idx="31">
                  <c:v>28.5</c:v>
                </c:pt>
                <c:pt idx="32">
                  <c:v>28.5</c:v>
                </c:pt>
                <c:pt idx="33">
                  <c:v>29.5</c:v>
                </c:pt>
                <c:pt idx="34">
                  <c:v>41.5</c:v>
                </c:pt>
                <c:pt idx="35">
                  <c:v>41.5</c:v>
                </c:pt>
                <c:pt idx="36">
                  <c:v>3.5</c:v>
                </c:pt>
                <c:pt idx="37">
                  <c:v>15.5</c:v>
                </c:pt>
                <c:pt idx="38">
                  <c:v>15.5</c:v>
                </c:pt>
              </c:numCache>
            </c:numRef>
          </c:xVal>
          <c:yVal>
            <c:numRef>
              <c:f>Dot!$BS$24:$BS$62</c:f>
              <c:numCache>
                <c:formatCode>General</c:formatCode>
                <c:ptCount val="3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numCache>
            </c:numRef>
          </c:yVal>
          <c:smooth val="0"/>
          <c:extLst>
            <c:ext xmlns:c16="http://schemas.microsoft.com/office/drawing/2014/chart" uri="{C3380CC4-5D6E-409C-BE32-E72D297353CC}">
              <c16:uniqueId val="{0000000F-B85C-44A5-B19E-04624DA4E15F}"/>
            </c:ext>
          </c:extLst>
        </c:ser>
        <c:ser>
          <c:idx val="15"/>
          <c:order val="15"/>
          <c:tx>
            <c:v>baseline 2</c:v>
          </c:tx>
          <c:spPr>
            <a:ln w="9525">
              <a:solidFill>
                <a:srgbClr val="808080"/>
              </a:solidFill>
            </a:ln>
          </c:spPr>
          <c:marker>
            <c:symbol val="none"/>
          </c:marker>
          <c:xVal>
            <c:numRef>
              <c:f>Dot!$BR$63:$BR$77</c:f>
              <c:numCache>
                <c:formatCode>General</c:formatCode>
                <c:ptCount val="15"/>
                <c:pt idx="0">
                  <c:v>16.5</c:v>
                </c:pt>
                <c:pt idx="1">
                  <c:v>28.5</c:v>
                </c:pt>
                <c:pt idx="2">
                  <c:v>28.5</c:v>
                </c:pt>
                <c:pt idx="3">
                  <c:v>29.5</c:v>
                </c:pt>
                <c:pt idx="4">
                  <c:v>41.5</c:v>
                </c:pt>
                <c:pt idx="5">
                  <c:v>41.5</c:v>
                </c:pt>
                <c:pt idx="6">
                  <c:v>3.5</c:v>
                </c:pt>
                <c:pt idx="7">
                  <c:v>15.5</c:v>
                </c:pt>
                <c:pt idx="8">
                  <c:v>15.5</c:v>
                </c:pt>
                <c:pt idx="9">
                  <c:v>16.5</c:v>
                </c:pt>
                <c:pt idx="10">
                  <c:v>28.5</c:v>
                </c:pt>
                <c:pt idx="11">
                  <c:v>28.5</c:v>
                </c:pt>
                <c:pt idx="12">
                  <c:v>29.5</c:v>
                </c:pt>
                <c:pt idx="13">
                  <c:v>41.5</c:v>
                </c:pt>
                <c:pt idx="14">
                  <c:v>41.5</c:v>
                </c:pt>
              </c:numCache>
            </c:numRef>
          </c:xVal>
          <c:yVal>
            <c:numRef>
              <c:f>Dot!$BS$63:$BS$77</c:f>
              <c:numCache>
                <c:formatCode>General</c:formatCode>
                <c:ptCount val="1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numCache>
            </c:numRef>
          </c:yVal>
          <c:smooth val="0"/>
          <c:extLst>
            <c:ext xmlns:c16="http://schemas.microsoft.com/office/drawing/2014/chart" uri="{C3380CC4-5D6E-409C-BE32-E72D297353CC}">
              <c16:uniqueId val="{00000010-B85C-44A5-B19E-04624DA4E15F}"/>
            </c:ext>
          </c:extLst>
        </c:ser>
        <c:ser>
          <c:idx val="16"/>
          <c:order val="16"/>
          <c:tx>
            <c:v>ptitle</c:v>
          </c:tx>
          <c:spPr>
            <a:ln w="38100">
              <a:noFill/>
            </a:ln>
          </c:spPr>
          <c:marker>
            <c:symbol val="none"/>
          </c:marker>
          <c:dLbls>
            <c:dLbl>
              <c:idx val="0"/>
              <c:tx>
                <c:strRef>
                  <c:f>Dot!$BW$24</c:f>
                  <c:strCache>
                    <c:ptCount val="1"/>
                    <c:pt idx="0">
                      <c:v>Business partner 01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{E64F4223-9AB0-4E81-AAFF-6EA3528987BD}</c15:txfldGUID>
                      <c15:f>Dot!$BW$24</c15:f>
                      <c15:dlblFieldTableCache>
                        <c:ptCount val="1"/>
                        <c:pt idx="0">
                          <c:v>Business partner 01</c:v>
                        </c:pt>
                      </c15:dlblFieldTableCache>
                    </c15:dlblFTEntry>
                  </c15:dlblFieldTable>
                  <c15:showDataLabelsRange val="0"/>
                </c:ext>
                <c:ext xmlns:c16="http://schemas.microsoft.com/office/drawing/2014/chart" uri="{C3380CC4-5D6E-409C-BE32-E72D297353CC}">
                  <c16:uniqueId val="{00000013-B85C-44A5-B19E-04624DA4E15F}"/>
                </c:ext>
              </c:extLst>
            </c:dLbl>
            <c:dLbl>
              <c:idx val="1"/>
              <c:tx>
                <c:strRef>
                  <c:f>Dot!$BW$25</c:f>
                  <c:strCache>
                    <c:ptCount val="1"/>
                    <c:pt idx="0">
                      <c:v>Business partner 02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{112FC575-9CFA-44DA-A693-A837B115FFE1}</c15:txfldGUID>
                      <c15:f>Dot!$BW$25</c15:f>
                      <c15:dlblFieldTableCache>
                        <c:ptCount val="1"/>
                        <c:pt idx="0">
                          <c:v>Business partner 02</c:v>
                        </c:pt>
                      </c15:dlblFieldTableCache>
                    </c15:dlblFTEntry>
                  </c15:dlblFieldTable>
                  <c15:showDataLabelsRange val="0"/>
                </c:ext>
                <c:ext xmlns:c16="http://schemas.microsoft.com/office/drawing/2014/chart" uri="{C3380CC4-5D6E-409C-BE32-E72D297353CC}">
                  <c16:uniqueId val="{00000014-B85C-44A5-B19E-04624DA4E15F}"/>
                </c:ext>
              </c:extLst>
            </c:dLbl>
            <c:dLbl>
              <c:idx val="2"/>
              <c:tx>
                <c:strRef>
                  <c:f>Dot!$BW$26</c:f>
                  <c:strCache>
                    <c:ptCount val="1"/>
                    <c:pt idx="0">
                      <c:v>Business partner 03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{AEBACD6E-569E-405E-9903-4A07A55BCE04}</c15:txfldGUID>
                      <c15:f>Dot!$BW$26</c15:f>
                      <c15:dlblFieldTableCache>
                        <c:ptCount val="1"/>
                        <c:pt idx="0">
                          <c:v>Business partner 03</c:v>
                        </c:pt>
                      </c15:dlblFieldTableCache>
                    </c15:dlblFTEntry>
                  </c15:dlblFieldTable>
                  <c15:showDataLabelsRange val="0"/>
                </c:ext>
                <c:ext xmlns:c16="http://schemas.microsoft.com/office/drawing/2014/chart" uri="{C3380CC4-5D6E-409C-BE32-E72D297353CC}">
                  <c16:uniqueId val="{00000015-B85C-44A5-B19E-04624DA4E15F}"/>
                </c:ext>
              </c:extLst>
            </c:dLbl>
            <c:dLbl>
              <c:idx val="3"/>
              <c:tx>
                <c:strRef>
                  <c:f>Dot!$BW$27</c:f>
                  <c:strCache>
                    <c:ptCount val="1"/>
                    <c:pt idx="0">
                      <c:v>Business partner 04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{CF04FEC1-8A0E-4D56-A144-2C7D7549BFA0}</c15:txfldGUID>
                      <c15:f>Dot!$BW$27</c15:f>
                      <c15:dlblFieldTableCache>
                        <c:ptCount val="1"/>
                        <c:pt idx="0">
                          <c:v>Business partner 04</c:v>
                        </c:pt>
                      </c15:dlblFieldTableCache>
                    </c15:dlblFTEntry>
                  </c15:dlblFieldTable>
                  <c15:showDataLabelsRange val="0"/>
                </c:ext>
                <c:ext xmlns:c16="http://schemas.microsoft.com/office/drawing/2014/chart" uri="{C3380CC4-5D6E-409C-BE32-E72D297353CC}">
                  <c16:uniqueId val="{00000016-B85C-44A5-B19E-04624DA4E15F}"/>
                </c:ext>
              </c:extLst>
            </c:dLbl>
            <c:dLbl>
              <c:idx val="4"/>
              <c:tx>
                <c:strRef>
                  <c:f>Dot!$BW$28</c:f>
                  <c:strCache>
                    <c:ptCount val="1"/>
                    <c:pt idx="0">
                      <c:v>Business partner 05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{D0023993-D9B1-43C3-A669-0E4BBB53DFA3}</c15:txfldGUID>
                      <c15:f>Dot!$BW$28</c15:f>
                      <c15:dlblFieldTableCache>
                        <c:ptCount val="1"/>
                        <c:pt idx="0">
                          <c:v>Business partner 05</c:v>
                        </c:pt>
                      </c15:dlblFieldTableCache>
                    </c15:dlblFTEntry>
                  </c15:dlblFieldTable>
                  <c15:showDataLabelsRange val="0"/>
                </c:ext>
                <c:ext xmlns:c16="http://schemas.microsoft.com/office/drawing/2014/chart" uri="{C3380CC4-5D6E-409C-BE32-E72D297353CC}">
                  <c16:uniqueId val="{00000017-B85C-44A5-B19E-04624DA4E15F}"/>
                </c:ext>
              </c:extLst>
            </c:dLbl>
            <c:dLbl>
              <c:idx val="5"/>
              <c:tx>
                <c:strRef>
                  <c:f>Dot!$BW$29</c:f>
                  <c:strCache>
                    <c:ptCount val="1"/>
                    <c:pt idx="0">
                      <c:v>Business partner 06</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{885C6DE3-0911-4368-9B52-5C272712402B}</c15:txfldGUID>
                      <c15:f>Dot!$BW$29</c15:f>
                      <c15:dlblFieldTableCache>
                        <c:ptCount val="1"/>
                        <c:pt idx="0">
                          <c:v>Business partner 06</c:v>
                        </c:pt>
                      </c15:dlblFieldTableCache>
                    </c15:dlblFTEntry>
                  </c15:dlblFieldTable>
                  <c15:showDataLabelsRange val="0"/>
                </c:ext>
                <c:ext xmlns:c16="http://schemas.microsoft.com/office/drawing/2014/chart" uri="{C3380CC4-5D6E-409C-BE32-E72D297353CC}">
                  <c16:uniqueId val="{00000018-B85C-44A5-B19E-04624DA4E15F}"/>
                </c:ext>
              </c:extLst>
            </c:dLbl>
            <c:dLbl>
              <c:idx val="6"/>
              <c:tx>
                <c:strRef>
                  <c:f>Dot!$BW$30</c:f>
                  <c:strCache>
                    <c:ptCount val="1"/>
                    <c:pt idx="0">
                      <c:v>Business partner 07</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{701826CB-B119-46D9-A841-A9D8046483DC}</c15:txfldGUID>
                      <c15:f>Dot!$BW$30</c15:f>
                      <c15:dlblFieldTableCache>
                        <c:ptCount val="1"/>
                        <c:pt idx="0">
                          <c:v>Business partner 07</c:v>
                        </c:pt>
                      </c15:dlblFieldTableCache>
                    </c15:dlblFTEntry>
                  </c15:dlblFieldTable>
                  <c15:showDataLabelsRange val="0"/>
                </c:ext>
                <c:ext xmlns:c16="http://schemas.microsoft.com/office/drawing/2014/chart" uri="{C3380CC4-5D6E-409C-BE32-E72D297353CC}">
                  <c16:uniqueId val="{00000019-B85C-44A5-B19E-04624DA4E15F}"/>
                </c:ext>
              </c:extLst>
            </c:dLbl>
            <c:dLbl>
              <c:idx val="7"/>
              <c:tx>
                <c:strRef>
                  <c:f>Dot!$BW$31</c:f>
                  <c:strCache>
                    <c:ptCount val="1"/>
                    <c:pt idx="0">
                      <c:v>Business partner 08</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{34ED052C-F4CA-4ABB-A12A-085491D8F016}</c15:txfldGUID>
                      <c15:f>Dot!$BW$31</c15:f>
                      <c15:dlblFieldTableCache>
                        <c:ptCount val="1"/>
                        <c:pt idx="0">
                          <c:v>Business partner 08</c:v>
                        </c:pt>
                      </c15:dlblFieldTableCache>
                    </c15:dlblFTEntry>
                  </c15:dlblFieldTable>
                  <c15:showDataLabelsRange val="0"/>
                </c:ext>
                <c:ext xmlns:c16="http://schemas.microsoft.com/office/drawing/2014/chart" uri="{C3380CC4-5D6E-409C-BE32-E72D297353CC}">
                  <c16:uniqueId val="{0000001A-B85C-44A5-B19E-04624DA4E15F}"/>
                </c:ext>
              </c:extLst>
            </c:dLbl>
            <c:dLbl>
              <c:idx val="8"/>
              <c:tx>
                <c:strRef>
                  <c:f>Dot!$BW$32</c:f>
                  <c:strCache>
                    <c:ptCount val="1"/>
                    <c:pt idx="0">
                      <c:v>Business partner 09</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{EC54B0AA-EF90-4715-A76E-0F895AE2675D}</c15:txfldGUID>
                      <c15:f>Dot!$BW$32</c15:f>
                      <c15:dlblFieldTableCache>
                        <c:ptCount val="1"/>
                        <c:pt idx="0">
                          <c:v>Business partner 09</c:v>
                        </c:pt>
                      </c15:dlblFieldTableCache>
                    </c15:dlblFTEntry>
                  </c15:dlblFieldTable>
                  <c15:showDataLabelsRange val="0"/>
                </c:ext>
                <c:ext xmlns:c16="http://schemas.microsoft.com/office/drawing/2014/chart" uri="{C3380CC4-5D6E-409C-BE32-E72D297353CC}">
                  <c16:uniqueId val="{0000001B-B85C-44A5-B19E-04624DA4E15F}"/>
                </c:ext>
              </c:extLst>
            </c:dLbl>
            <c:dLbl>
              <c:idx val="9"/>
              <c:tx>
                <c:strRef>
                  <c:f>Dot!$BW$33</c:f>
                  <c:strCache>
                    <c:ptCount val="1"/>
                    <c:pt idx="0">
                      <c:v>Business partner 10</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{74B1BEB4-BB12-4944-A0B2-A42AD241D531}</c15:txfldGUID>
                      <c15:f>Dot!$BW$33</c15:f>
                      <c15:dlblFieldTableCache>
                        <c:ptCount val="1"/>
                        <c:pt idx="0">
                          <c:v>Business partner 10</c:v>
                        </c:pt>
                      </c15:dlblFieldTableCache>
                    </c15:dlblFTEntry>
                  </c15:dlblFieldTable>
                  <c15:showDataLabelsRange val="0"/>
                </c:ext>
                <c:ext xmlns:c16="http://schemas.microsoft.com/office/drawing/2014/chart" uri="{C3380CC4-5D6E-409C-BE32-E72D297353CC}">
                  <c16:uniqueId val="{0000001C-B85C-44A5-B19E-04624DA4E15F}"/>
                </c:ext>
              </c:extLst>
            </c:dLbl>
            <c:dLbl>
              <c:idx val="10"/>
              <c:tx>
                <c:strRef>
                  <c:f>Dot!$BW$34</c:f>
                  <c:strCache>
                    <c:ptCount val="1"/>
                    <c:pt idx="0">
                      <c:v>Business partner 11</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{DE1A0799-2267-4EC6-8DA6-EDB06FD02B89}</c15:txfldGUID>
                      <c15:f>Dot!$BW$34</c15:f>
                      <c15:dlblFieldTableCache>
                        <c:ptCount val="1"/>
                        <c:pt idx="0">
                          <c:v>Business partner 11</c:v>
                        </c:pt>
                      </c15:dlblFieldTableCache>
                    </c15:dlblFTEntry>
                  </c15:dlblFieldTable>
                  <c15:showDataLabelsRange val="0"/>
                </c:ext>
                <c:ext xmlns:c16="http://schemas.microsoft.com/office/drawing/2014/chart" uri="{C3380CC4-5D6E-409C-BE32-E72D297353CC}">
                  <c16:uniqueId val="{0000001D-B85C-44A5-B19E-04624DA4E15F}"/>
                </c:ext>
              </c:extLst>
            </c:dLbl>
            <c:dLbl>
              <c:idx val="11"/>
              <c:tx>
                <c:strRef>
                  <c:f>Dot!$BW$35</c:f>
                  <c:strCache>
                    <c:ptCount val="1"/>
                    <c:pt idx="0">
                      <c:v>Business partner 12</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{76AC9697-0B18-4B42-BF72-36DA923FE817}</c15:txfldGUID>
                      <c15:f>Dot!$BW$35</c15:f>
                      <c15:dlblFieldTableCache>
                        <c:ptCount val="1"/>
                        <c:pt idx="0">
                          <c:v>Business partner 12</c:v>
                        </c:pt>
                      </c15:dlblFieldTableCache>
                    </c15:dlblFTEntry>
                  </c15:dlblFieldTable>
                  <c15:showDataLabelsRange val="0"/>
                </c:ext>
                <c:ext xmlns:c16="http://schemas.microsoft.com/office/drawing/2014/chart" uri="{C3380CC4-5D6E-409C-BE32-E72D297353CC}">
                  <c16:uniqueId val="{0000001E-B85C-44A5-B19E-04624DA4E15F}"/>
                </c:ext>
              </c:extLst>
            </c:dLbl>
            <c:dLbl>
              <c:idx val="12"/>
              <c:tx>
                <c:strRef>
                  <c:f>Dot!$BW$36</c:f>
                  <c:strCache>
                    <c:ptCount val="1"/>
                    <c:pt idx="0">
                      <c:v>Business partner 13</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{44EF014B-4E0F-42ED-8853-E00AC5ED26B9}</c15:txfldGUID>
                      <c15:f>Dot!$BW$36</c15:f>
                      <c15:dlblFieldTableCache>
                        <c:ptCount val="1"/>
                        <c:pt idx="0">
                          <c:v>Business partner 13</c:v>
                        </c:pt>
                      </c15:dlblFieldTableCache>
                    </c15:dlblFTEntry>
                  </c15:dlblFieldTable>
                  <c15:showDataLabelsRange val="0"/>
                </c:ext>
                <c:ext xmlns:c16="http://schemas.microsoft.com/office/drawing/2014/chart" uri="{C3380CC4-5D6E-409C-BE32-E72D297353CC}">
                  <c16:uniqueId val="{0000001F-B85C-44A5-B19E-04624DA4E15F}"/>
                </c:ext>
              </c:extLst>
            </c:dLbl>
            <c:dLbl>
              <c:idx val="13"/>
              <c:tx>
                <c:strRef>
                  <c:f>Dot!$BW$37</c:f>
                  <c:strCache>
                    <c:ptCount val="1"/>
                    <c:pt idx="0">
                      <c:v>Business partner 14</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{33FDCF6D-6C46-4078-B2FA-399814120DCD}</c15:txfldGUID>
                      <c15:f>Dot!$BW$37</c15:f>
                      <c15:dlblFieldTableCache>
                        <c:ptCount val="1"/>
                        <c:pt idx="0">
                          <c:v>Business partner 14</c:v>
                        </c:pt>
                      </c15:dlblFieldTableCache>
                    </c15:dlblFTEntry>
                  </c15:dlblFieldTable>
                  <c15:showDataLabelsRange val="0"/>
                </c:ext>
                <c:ext xmlns:c16="http://schemas.microsoft.com/office/drawing/2014/chart" uri="{C3380CC4-5D6E-409C-BE32-E72D297353CC}">
                  <c16:uniqueId val="{00000020-B85C-44A5-B19E-04624DA4E15F}"/>
                </c:ext>
              </c:extLst>
            </c:dLbl>
            <c:dLbl>
              <c:idx val="14"/>
              <c:tx>
                <c:strRef>
                  <c:f>Dot!$BW$38</c:f>
                  <c:strCache>
                    <c:ptCount val="1"/>
                    <c:pt idx="0">
                      <c:v>Business partner 15</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{B54F05C6-9537-4E6F-BF61-86290C19413E}</c15:txfldGUID>
                      <c15:f>Dot!$BW$38</c15:f>
                      <c15:dlblFieldTableCache>
                        <c:ptCount val="1"/>
                        <c:pt idx="0">
                          <c:v>Business partner 15</c:v>
                        </c:pt>
                      </c15:dlblFieldTableCache>
                    </c15:dlblFTEntry>
                  </c15:dlblFieldTable>
                  <c15:showDataLabelsRange val="0"/>
                </c:ext>
                <c:ext xmlns:c16="http://schemas.microsoft.com/office/drawing/2014/chart" uri="{C3380CC4-5D6E-409C-BE32-E72D297353CC}">
                  <c16:uniqueId val="{00000021-B85C-44A5-B19E-04624DA4E15F}"/>
                </c:ext>
              </c:extLst>
            </c:dLbl>
            <c:dLbl>
              <c:idx val="15"/>
              <c:tx>
                <c:strRef>
                  <c:f>Dot!$BW$39</c:f>
                  <c:strCache>
                    <c:ptCount val="1"/>
                    <c:pt idx="0">
                      <c:v>Business partner 16</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{4C6EC34B-341D-4885-B944-85D9A09878C8}</c15:txfldGUID>
                      <c15:f>Dot!$BW$39</c15:f>
                      <c15:dlblFieldTableCache>
                        <c:ptCount val="1"/>
                        <c:pt idx="0">
                          <c:v>Business partner 16</c:v>
                        </c:pt>
                      </c15:dlblFieldTableCache>
                    </c15:dlblFTEntry>
                  </c15:dlblFieldTable>
                  <c15:showDataLabelsRange val="0"/>
                </c:ext>
                <c:ext xmlns:c16="http://schemas.microsoft.com/office/drawing/2014/chart" uri="{C3380CC4-5D6E-409C-BE32-E72D297353CC}">
                  <c16:uniqueId val="{00000022-B85C-44A5-B19E-04624DA4E15F}"/>
                </c:ext>
              </c:extLst>
            </c:dLbl>
            <c:dLbl>
              <c:idx val="16"/>
              <c:tx>
                <c:strRef>
                  <c:f>Dot!$BW$40</c:f>
                  <c:strCache>
                    <c:ptCount val="1"/>
                    <c:pt idx="0">
                      <c:v>Business partner 17</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{8C655A7E-61B3-47A4-834F-00799427E6ED}</c15:txfldGUID>
                      <c15:f>Dot!$BW$40</c15:f>
                      <c15:dlblFieldTableCache>
                        <c:ptCount val="1"/>
                        <c:pt idx="0">
                          <c:v>Business partner 17</c:v>
                        </c:pt>
                      </c15:dlblFieldTableCache>
                    </c15:dlblFTEntry>
                  </c15:dlblFieldTable>
                  <c15:showDataLabelsRange val="0"/>
                </c:ext>
                <c:ext xmlns:c16="http://schemas.microsoft.com/office/drawing/2014/chart" uri="{C3380CC4-5D6E-409C-BE32-E72D297353CC}">
                  <c16:uniqueId val="{00000023-B85C-44A5-B19E-04624DA4E15F}"/>
                </c:ext>
              </c:extLst>
            </c:dLbl>
            <c:dLbl>
              <c:idx val="17"/>
              <c:tx>
                <c:strRef>
                  <c:f>Dot!$BW$41</c:f>
                  <c:strCache>
                    <c:ptCount val="1"/>
                    <c:pt idx="0">
                      <c:v>Business partner 18</c:v>
                    </c:pt>
                  </c:strCache>
                </c:strRef>
              </c:tx>
              <c:spPr>
                <a:noFill/>
                <a:ln>
                  <a:noFill/>
                </a:ln>
                <a:effectLst/>
              </c:spPr>
              <c:txPr>
                <a:bodyPr wrap="square" lIns="38100" tIns="19050" rIns="38100" bIns="19050" anchor="ctr">
                  <a:spAutoFit/>
                </a:bodyPr>
                <a:lstStyle/>
                <a:p>
                  <a:pPr>
                    <a:defRPr sz="900" b="1"/>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{7BBD8237-C416-460F-8A71-9EBC519AD889}</c15:txfldGUID>
                      <c15:f>Dot!$BW$41</c15:f>
                      <c15:dlblFieldTableCache>
                        <c:ptCount val="1"/>
                        <c:pt idx="0">
                          <c:v>Business partner 18</c:v>
                        </c:pt>
                      </c15:dlblFieldTableCache>
                    </c15:dlblFTEntry>
                  </c15:dlblFieldTable>
                  <c15:showDataLabelsRange val="0"/>
                </c:ext>
                <c:ext xmlns:c16="http://schemas.microsoft.com/office/drawing/2014/chart" uri="{C3380CC4-5D6E-409C-BE32-E72D297353CC}">
                  <c16:uniqueId val="{00000024-B85C-44A5-B19E-04624DA4E15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Dot!$BU$24:$BU$41</c:f>
              <c:numCache>
                <c:formatCode>General</c:formatCode>
                <c:ptCount val="18"/>
                <c:pt idx="0">
                  <c:v>4</c:v>
                </c:pt>
                <c:pt idx="1">
                  <c:v>17</c:v>
                </c:pt>
                <c:pt idx="2">
                  <c:v>30</c:v>
                </c:pt>
                <c:pt idx="3">
                  <c:v>4</c:v>
                </c:pt>
                <c:pt idx="4">
                  <c:v>17</c:v>
                </c:pt>
                <c:pt idx="5">
                  <c:v>30</c:v>
                </c:pt>
                <c:pt idx="6">
                  <c:v>4</c:v>
                </c:pt>
                <c:pt idx="7">
                  <c:v>17</c:v>
                </c:pt>
                <c:pt idx="8">
                  <c:v>30</c:v>
                </c:pt>
                <c:pt idx="9">
                  <c:v>4</c:v>
                </c:pt>
                <c:pt idx="10">
                  <c:v>17</c:v>
                </c:pt>
                <c:pt idx="11">
                  <c:v>30</c:v>
                </c:pt>
                <c:pt idx="12">
                  <c:v>4</c:v>
                </c:pt>
                <c:pt idx="13">
                  <c:v>17</c:v>
                </c:pt>
                <c:pt idx="14">
                  <c:v>30</c:v>
                </c:pt>
                <c:pt idx="15">
                  <c:v>4</c:v>
                </c:pt>
                <c:pt idx="16">
                  <c:v>17</c:v>
                </c:pt>
                <c:pt idx="17">
                  <c:v>30</c:v>
                </c:pt>
              </c:numCache>
            </c:numRef>
          </c:xVal>
          <c:yVal>
            <c:numRef>
              <c:f>Dot!$BV$24:$BV$41</c:f>
              <c:numCache>
                <c:formatCode>General</c:formatCode>
                <c:ptCount val="18"/>
                <c:pt idx="0">
                  <c:v>5.8500000000000005</c:v>
                </c:pt>
                <c:pt idx="1">
                  <c:v>5.8500000000000005</c:v>
                </c:pt>
                <c:pt idx="2">
                  <c:v>5.8500000000000005</c:v>
                </c:pt>
                <c:pt idx="3">
                  <c:v>4.8500000000000005</c:v>
                </c:pt>
                <c:pt idx="4">
                  <c:v>4.8500000000000005</c:v>
                </c:pt>
                <c:pt idx="5">
                  <c:v>4.8500000000000005</c:v>
                </c:pt>
                <c:pt idx="6">
                  <c:v>3.8499999999999996</c:v>
                </c:pt>
                <c:pt idx="7">
                  <c:v>3.8499999999999996</c:v>
                </c:pt>
                <c:pt idx="8">
                  <c:v>3.8499999999999996</c:v>
                </c:pt>
                <c:pt idx="9">
                  <c:v>2.8499999999999996</c:v>
                </c:pt>
                <c:pt idx="10">
                  <c:v>2.8499999999999996</c:v>
                </c:pt>
                <c:pt idx="11">
                  <c:v>2.8499999999999996</c:v>
                </c:pt>
                <c:pt idx="12">
                  <c:v>1.8499999999999999</c:v>
                </c:pt>
                <c:pt idx="13">
                  <c:v>1.8499999999999999</c:v>
                </c:pt>
                <c:pt idx="14">
                  <c:v>1.8499999999999999</c:v>
                </c:pt>
                <c:pt idx="15">
                  <c:v>0.85</c:v>
                </c:pt>
                <c:pt idx="16">
                  <c:v>0.85</c:v>
                </c:pt>
                <c:pt idx="17">
                  <c:v>0.85</c:v>
                </c:pt>
              </c:numCache>
            </c:numRef>
          </c:yVal>
          <c:smooth val="0"/>
          <c:extLst>
            <c:ext xmlns:c16="http://schemas.microsoft.com/office/drawing/2014/chart" uri="{C3380CC4-5D6E-409C-BE32-E72D297353CC}">
              <c16:uniqueId val="{00000011-B85C-44A5-B19E-04624DA4E15F}"/>
            </c:ext>
          </c:extLst>
        </c:ser>
        <c:ser>
          <c:idx val="17"/>
          <c:order val="17"/>
          <c:tx>
            <c:v>ytick</c:v>
          </c:tx>
          <c:spPr>
            <a:ln w="38100">
              <a:noFill/>
            </a:ln>
          </c:spPr>
          <c:marker>
            <c:symbol val="none"/>
          </c:marker>
          <c:dLbls>
            <c:dLbl>
              <c:idx val="0"/>
              <c:tx>
                <c:strRef>
                  <c:f>Dot!$CA$24</c:f>
                  <c:strCache>
                    <c:ptCount val="1"/>
                    <c:pt idx="0">
                      <c:v>350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{895CACE3-8036-4517-9FFA-213A5ACC9292}</c15:txfldGUID>
                      <c15:f>Dot!$CA$24</c15:f>
                      <c15:dlblFieldTableCache>
                        <c:ptCount val="1"/>
                        <c:pt idx="0">
                          <c:v>350</c:v>
                        </c:pt>
                      </c15:dlblFieldTableCache>
                    </c15:dlblFTEntry>
                  </c15:dlblFieldTable>
                  <c15:showDataLabelsRange val="0"/>
                </c:ext>
                <c:ext xmlns:c16="http://schemas.microsoft.com/office/drawing/2014/chart" uri="{C3380CC4-5D6E-409C-BE32-E72D297353CC}">
                  <c16:uniqueId val="{00000025-B85C-44A5-B19E-04624DA4E15F}"/>
                </c:ext>
              </c:extLst>
            </c:dLbl>
            <c:dLbl>
              <c:idx val="1"/>
              <c:tx>
                <c:strRef>
                  <c:f>Dot!$CA$25</c:f>
                  <c:strCache>
                    <c:ptCount val="1"/>
                    <c:pt idx="0">
                      <c:v>800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{3F20C2CA-2A62-4AC5-AD73-5AC6189DB08C}</c15:txfldGUID>
                      <c15:f>Dot!$CA$25</c15:f>
                      <c15:dlblFieldTableCache>
                        <c:ptCount val="1"/>
                        <c:pt idx="0">
                          <c:v>800</c:v>
                        </c:pt>
                      </c15:dlblFieldTableCache>
                    </c15:dlblFTEntry>
                  </c15:dlblFieldTable>
                  <c15:showDataLabelsRange val="0"/>
                </c:ext>
                <c:ext xmlns:c16="http://schemas.microsoft.com/office/drawing/2014/chart" uri="{C3380CC4-5D6E-409C-BE32-E72D297353CC}">
                  <c16:uniqueId val="{00000026-B85C-44A5-B19E-04624DA4E15F}"/>
                </c:ext>
              </c:extLst>
            </c:dLbl>
            <c:dLbl>
              <c:idx val="2"/>
              <c:tx>
                <c:strRef>
                  <c:f>Dot!$CA$26</c:f>
                  <c:strCache>
                    <c:ptCount val="1"/>
                    <c:pt idx="0">
                      <c:v>1,250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{3498E1A6-E444-4028-8C06-3FD109EB0474}</c15:txfldGUID>
                      <c15:f>Dot!$CA$26</c15:f>
                      <c15:dlblFieldTableCache>
                        <c:ptCount val="1"/>
                        <c:pt idx="0">
                          <c:v>1,250</c:v>
                        </c:pt>
                      </c15:dlblFieldTableCache>
                    </c15:dlblFTEntry>
                  </c15:dlblFieldTable>
                  <c15:showDataLabelsRange val="0"/>
                </c:ext>
                <c:ext xmlns:c16="http://schemas.microsoft.com/office/drawing/2014/chart" uri="{C3380CC4-5D6E-409C-BE32-E72D297353CC}">
                  <c16:uniqueId val="{00000027-B85C-44A5-B19E-04624DA4E15F}"/>
                </c:ext>
              </c:extLst>
            </c:dLbl>
            <c:dLbl>
              <c:idx val="3"/>
              <c:tx>
                <c:strRef>
                  <c:f>Dot!$CA$27</c:f>
                  <c:strCache>
                    <c:ptCount val="1"/>
                    <c:pt idx="0">
                      <c:v>350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{1BD68A21-19E8-4987-9197-7AB90F4BB6AF}</c15:txfldGUID>
                      <c15:f>Dot!$CA$27</c15:f>
                      <c15:dlblFieldTableCache>
                        <c:ptCount val="1"/>
                        <c:pt idx="0">
                          <c:v>350</c:v>
                        </c:pt>
                      </c15:dlblFieldTableCache>
                    </c15:dlblFTEntry>
                  </c15:dlblFieldTable>
                  <c15:showDataLabelsRange val="0"/>
                </c:ext>
                <c:ext xmlns:c16="http://schemas.microsoft.com/office/drawing/2014/chart" uri="{C3380CC4-5D6E-409C-BE32-E72D297353CC}">
                  <c16:uniqueId val="{00000028-B85C-44A5-B19E-04624DA4E15F}"/>
                </c:ext>
              </c:extLst>
            </c:dLbl>
            <c:dLbl>
              <c:idx val="4"/>
              <c:tx>
                <c:strRef>
                  <c:f>Dot!$CA$28</c:f>
                  <c:strCache>
                    <c:ptCount val="1"/>
                    <c:pt idx="0">
                      <c:v>800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{1FFB9A38-8DF8-442E-A425-03133AB87441}</c15:txfldGUID>
                      <c15:f>Dot!$CA$28</c15:f>
                      <c15:dlblFieldTableCache>
                        <c:ptCount val="1"/>
                        <c:pt idx="0">
                          <c:v>800</c:v>
                        </c:pt>
                      </c15:dlblFieldTableCache>
                    </c15:dlblFTEntry>
                  </c15:dlblFieldTable>
                  <c15:showDataLabelsRange val="0"/>
                </c:ext>
                <c:ext xmlns:c16="http://schemas.microsoft.com/office/drawing/2014/chart" uri="{C3380CC4-5D6E-409C-BE32-E72D297353CC}">
                  <c16:uniqueId val="{00000029-B85C-44A5-B19E-04624DA4E15F}"/>
                </c:ext>
              </c:extLst>
            </c:dLbl>
            <c:dLbl>
              <c:idx val="5"/>
              <c:tx>
                <c:strRef>
                  <c:f>Dot!$CA$29</c:f>
                  <c:strCache>
                    <c:ptCount val="1"/>
                    <c:pt idx="0">
                      <c:v>1,250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{623EDB7B-0827-414F-926E-BD96DA772D9A}</c15:txfldGUID>
                      <c15:f>Dot!$CA$29</c15:f>
                      <c15:dlblFieldTableCache>
                        <c:ptCount val="1"/>
                        <c:pt idx="0">
                          <c:v>1,250</c:v>
                        </c:pt>
                      </c15:dlblFieldTableCache>
                    </c15:dlblFTEntry>
                  </c15:dlblFieldTable>
                  <c15:showDataLabelsRange val="0"/>
                </c:ext>
                <c:ext xmlns:c16="http://schemas.microsoft.com/office/drawing/2014/chart" uri="{C3380CC4-5D6E-409C-BE32-E72D297353CC}">
                  <c16:uniqueId val="{0000002A-B85C-44A5-B19E-04624DA4E15F}"/>
                </c:ext>
              </c:extLst>
            </c:dLbl>
            <c:dLbl>
              <c:idx val="6"/>
              <c:tx>
                <c:strRef>
                  <c:f>Dot!$CA$30</c:f>
                  <c:strCache>
                    <c:ptCount val="1"/>
                    <c:pt idx="0">
                      <c:v>350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{905B8608-36F2-4381-9776-A1A1EC108F8C}</c15:txfldGUID>
                      <c15:f>Dot!$CA$30</c15:f>
                      <c15:dlblFieldTableCache>
                        <c:ptCount val="1"/>
                        <c:pt idx="0">
                          <c:v>350</c:v>
                        </c:pt>
                      </c15:dlblFieldTableCache>
                    </c15:dlblFTEntry>
                  </c15:dlblFieldTable>
                  <c15:showDataLabelsRange val="0"/>
                </c:ext>
                <c:ext xmlns:c16="http://schemas.microsoft.com/office/drawing/2014/chart" uri="{C3380CC4-5D6E-409C-BE32-E72D297353CC}">
                  <c16:uniqueId val="{0000002B-B85C-44A5-B19E-04624DA4E15F}"/>
                </c:ext>
              </c:extLst>
            </c:dLbl>
            <c:dLbl>
              <c:idx val="7"/>
              <c:tx>
                <c:strRef>
                  <c:f>Dot!$CA$31</c:f>
                  <c:strCache>
                    <c:ptCount val="1"/>
                    <c:pt idx="0">
                      <c:v>800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{89689F7F-E128-4593-939D-73F7C649AA56}</c15:txfldGUID>
                      <c15:f>Dot!$CA$31</c15:f>
                      <c15:dlblFieldTableCache>
                        <c:ptCount val="1"/>
                        <c:pt idx="0">
                          <c:v>800</c:v>
                        </c:pt>
                      </c15:dlblFieldTableCache>
                    </c15:dlblFTEntry>
                  </c15:dlblFieldTable>
                  <c15:showDataLabelsRange val="0"/>
                </c:ext>
                <c:ext xmlns:c16="http://schemas.microsoft.com/office/drawing/2014/chart" uri="{C3380CC4-5D6E-409C-BE32-E72D297353CC}">
                  <c16:uniqueId val="{0000002C-B85C-44A5-B19E-04624DA4E15F}"/>
                </c:ext>
              </c:extLst>
            </c:dLbl>
            <c:dLbl>
              <c:idx val="8"/>
              <c:tx>
                <c:strRef>
                  <c:f>Dot!$CA$32</c:f>
                  <c:strCache>
                    <c:ptCount val="1"/>
                    <c:pt idx="0">
                      <c:v>1,250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{3320035E-52DD-4FF1-9518-D50A9C4B69EC}</c15:txfldGUID>
                      <c15:f>Dot!$CA$32</c15:f>
                      <c15:dlblFieldTableCache>
                        <c:ptCount val="1"/>
                        <c:pt idx="0">
                          <c:v>1,250</c:v>
                        </c:pt>
                      </c15:dlblFieldTableCache>
                    </c15:dlblFTEntry>
                  </c15:dlblFieldTable>
                  <c15:showDataLabelsRange val="0"/>
                </c:ext>
                <c:ext xmlns:c16="http://schemas.microsoft.com/office/drawing/2014/chart" uri="{C3380CC4-5D6E-409C-BE32-E72D297353CC}">
                  <c16:uniqueId val="{0000002D-B85C-44A5-B19E-04624DA4E15F}"/>
                </c:ext>
              </c:extLst>
            </c:dLbl>
            <c:dLbl>
              <c:idx val="9"/>
              <c:tx>
                <c:strRef>
                  <c:f>Dot!$CA$33</c:f>
                  <c:strCache>
                    <c:ptCount val="1"/>
                    <c:pt idx="0">
                      <c:v>350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{FE9E033A-B454-446F-BCF7-C2B4752C8CCF}</c15:txfldGUID>
                      <c15:f>Dot!$CA$33</c15:f>
                      <c15:dlblFieldTableCache>
                        <c:ptCount val="1"/>
                        <c:pt idx="0">
                          <c:v>350</c:v>
                        </c:pt>
                      </c15:dlblFieldTableCache>
                    </c15:dlblFTEntry>
                  </c15:dlblFieldTable>
                  <c15:showDataLabelsRange val="0"/>
                </c:ext>
                <c:ext xmlns:c16="http://schemas.microsoft.com/office/drawing/2014/chart" uri="{C3380CC4-5D6E-409C-BE32-E72D297353CC}">
                  <c16:uniqueId val="{0000002E-B85C-44A5-B19E-04624DA4E15F}"/>
                </c:ext>
              </c:extLst>
            </c:dLbl>
            <c:dLbl>
              <c:idx val="10"/>
              <c:tx>
                <c:strRef>
                  <c:f>Dot!$CA$34</c:f>
                  <c:strCache>
                    <c:ptCount val="1"/>
                    <c:pt idx="0">
                      <c:v>800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{F9D9FD1B-60A5-4887-8A08-7491C22EBD39}</c15:txfldGUID>
                      <c15:f>Dot!$CA$34</c15:f>
                      <c15:dlblFieldTableCache>
                        <c:ptCount val="1"/>
                        <c:pt idx="0">
                          <c:v>800</c:v>
                        </c:pt>
                      </c15:dlblFieldTableCache>
                    </c15:dlblFTEntry>
                  </c15:dlblFieldTable>
                  <c15:showDataLabelsRange val="0"/>
                </c:ext>
                <c:ext xmlns:c16="http://schemas.microsoft.com/office/drawing/2014/chart" uri="{C3380CC4-5D6E-409C-BE32-E72D297353CC}">
                  <c16:uniqueId val="{0000002F-B85C-44A5-B19E-04624DA4E15F}"/>
                </c:ext>
              </c:extLst>
            </c:dLbl>
            <c:dLbl>
              <c:idx val="11"/>
              <c:tx>
                <c:strRef>
                  <c:f>Dot!$CA$35</c:f>
                  <c:strCache>
                    <c:ptCount val="1"/>
                    <c:pt idx="0">
                      <c:v>1,250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{BD87382D-E4B0-4730-BA27-47E0C018B6B4}</c15:txfldGUID>
                      <c15:f>Dot!$CA$35</c15:f>
                      <c15:dlblFieldTableCache>
                        <c:ptCount val="1"/>
                        <c:pt idx="0">
                          <c:v>1,250</c:v>
                        </c:pt>
                      </c15:dlblFieldTableCache>
                    </c15:dlblFTEntry>
                  </c15:dlblFieldTable>
                  <c15:showDataLabelsRange val="0"/>
                </c:ext>
                <c:ext xmlns:c16="http://schemas.microsoft.com/office/drawing/2014/chart" uri="{C3380CC4-5D6E-409C-BE32-E72D297353CC}">
                  <c16:uniqueId val="{00000030-B85C-44A5-B19E-04624DA4E15F}"/>
                </c:ext>
              </c:extLst>
            </c:dLbl>
            <c:dLbl>
              <c:idx val="12"/>
              <c:tx>
                <c:strRef>
                  <c:f>Dot!$CA$36</c:f>
                  <c:strCache>
                    <c:ptCount val="1"/>
                    <c:pt idx="0">
                      <c:v>350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{346EB302-54E7-4EBA-9936-95211CD7CA93}</c15:txfldGUID>
                      <c15:f>Dot!$CA$36</c15:f>
                      <c15:dlblFieldTableCache>
                        <c:ptCount val="1"/>
                        <c:pt idx="0">
                          <c:v>350</c:v>
                        </c:pt>
                      </c15:dlblFieldTableCache>
                    </c15:dlblFTEntry>
                  </c15:dlblFieldTable>
                  <c15:showDataLabelsRange val="0"/>
                </c:ext>
                <c:ext xmlns:c16="http://schemas.microsoft.com/office/drawing/2014/chart" uri="{C3380CC4-5D6E-409C-BE32-E72D297353CC}">
                  <c16:uniqueId val="{00000031-B85C-44A5-B19E-04624DA4E15F}"/>
                </c:ext>
              </c:extLst>
            </c:dLbl>
            <c:dLbl>
              <c:idx val="13"/>
              <c:tx>
                <c:strRef>
                  <c:f>Dot!$CA$37</c:f>
                  <c:strCache>
                    <c:ptCount val="1"/>
                    <c:pt idx="0">
                      <c:v>800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{81A9379F-35FE-41D9-B10F-9C0AC995E7AF}</c15:txfldGUID>
                      <c15:f>Dot!$CA$37</c15:f>
                      <c15:dlblFieldTableCache>
                        <c:ptCount val="1"/>
                        <c:pt idx="0">
                          <c:v>800</c:v>
                        </c:pt>
                      </c15:dlblFieldTableCache>
                    </c15:dlblFTEntry>
                  </c15:dlblFieldTable>
                  <c15:showDataLabelsRange val="0"/>
                </c:ext>
                <c:ext xmlns:c16="http://schemas.microsoft.com/office/drawing/2014/chart" uri="{C3380CC4-5D6E-409C-BE32-E72D297353CC}">
                  <c16:uniqueId val="{00000032-B85C-44A5-B19E-04624DA4E15F}"/>
                </c:ext>
              </c:extLst>
            </c:dLbl>
            <c:dLbl>
              <c:idx val="14"/>
              <c:tx>
                <c:strRef>
                  <c:f>Dot!$CA$38</c:f>
                  <c:strCache>
                    <c:ptCount val="1"/>
                    <c:pt idx="0">
                      <c:v>1,250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{0F3A0A80-A430-45F2-ACFD-67AC9A273A53}</c15:txfldGUID>
                      <c15:f>Dot!$CA$38</c15:f>
                      <c15:dlblFieldTableCache>
                        <c:ptCount val="1"/>
                        <c:pt idx="0">
                          <c:v>1,250</c:v>
                        </c:pt>
                      </c15:dlblFieldTableCache>
                    </c15:dlblFTEntry>
                  </c15:dlblFieldTable>
                  <c15:showDataLabelsRange val="0"/>
                </c:ext>
                <c:ext xmlns:c16="http://schemas.microsoft.com/office/drawing/2014/chart" uri="{C3380CC4-5D6E-409C-BE32-E72D297353CC}">
                  <c16:uniqueId val="{00000033-B85C-44A5-B19E-04624DA4E15F}"/>
                </c:ext>
              </c:extLst>
            </c:dLbl>
            <c:dLbl>
              <c:idx val="15"/>
              <c:tx>
                <c:strRef>
                  <c:f>Dot!$CA$39</c:f>
                  <c:strCache>
                    <c:ptCount val="1"/>
                    <c:pt idx="0">
                      <c:v>350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{9A3CABA0-672B-4C41-A2C2-7A3BE3226CFA}</c15:txfldGUID>
                      <c15:f>Dot!$CA$39</c15:f>
                      <c15:dlblFieldTableCache>
                        <c:ptCount val="1"/>
                        <c:pt idx="0">
                          <c:v>350</c:v>
                        </c:pt>
                      </c15:dlblFieldTableCache>
                    </c15:dlblFTEntry>
                  </c15:dlblFieldTable>
                  <c15:showDataLabelsRange val="0"/>
                </c:ext>
                <c:ext xmlns:c16="http://schemas.microsoft.com/office/drawing/2014/chart" uri="{C3380CC4-5D6E-409C-BE32-E72D297353CC}">
                  <c16:uniqueId val="{00000034-B85C-44A5-B19E-04624DA4E15F}"/>
                </c:ext>
              </c:extLst>
            </c:dLbl>
            <c:dLbl>
              <c:idx val="16"/>
              <c:tx>
                <c:strRef>
                  <c:f>Dot!$CA$40</c:f>
                  <c:strCache>
                    <c:ptCount val="1"/>
                    <c:pt idx="0">
                      <c:v>800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{39393AF1-67E3-40FD-957E-56CFA55583E1}</c15:txfldGUID>
                      <c15:f>Dot!$CA$40</c15:f>
                      <c15:dlblFieldTableCache>
                        <c:ptCount val="1"/>
                        <c:pt idx="0">
                          <c:v>800</c:v>
                        </c:pt>
                      </c15:dlblFieldTableCache>
                    </c15:dlblFTEntry>
                  </c15:dlblFieldTable>
                  <c15:showDataLabelsRange val="0"/>
                </c:ext>
                <c:ext xmlns:c16="http://schemas.microsoft.com/office/drawing/2014/chart" uri="{C3380CC4-5D6E-409C-BE32-E72D297353CC}">
                  <c16:uniqueId val="{00000035-B85C-44A5-B19E-04624DA4E15F}"/>
                </c:ext>
              </c:extLst>
            </c:dLbl>
            <c:dLbl>
              <c:idx val="17"/>
              <c:tx>
                <c:strRef>
                  <c:f>Dot!$CA$41</c:f>
                  <c:strCache>
                    <c:ptCount val="1"/>
                    <c:pt idx="0">
                      <c:v>1,250</c:v>
                    </c:pt>
                  </c:strCache>
                </c:strRef>
              </c:tx>
              <c:spPr>
                <a:noFill/>
                <a:ln>
                  <a:noFill/>
                </a:ln>
                <a:effectLst/>
              </c:spPr>
              <c:txPr>
                <a:bodyPr wrap="square" lIns="38100" tIns="19050" rIns="38100" bIns="19050" anchor="ctr">
                  <a:spAutoFit/>
                </a:bodyPr>
                <a:lstStyle/>
                <a:p>
                  <a:pPr>
                    <a:defRPr sz="800" b="0"/>
                  </a:pPr>
                  <a:endParaRPr lang="en-US"/>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{F6FCBC35-C50A-46F9-A8CD-C3441A51A349}</c15:txfldGUID>
                      <c15:f>Dot!$CA$41</c15:f>
                      <c15:dlblFieldTableCache>
                        <c:ptCount val="1"/>
                        <c:pt idx="0">
                          <c:v>1,250</c:v>
                        </c:pt>
                      </c15:dlblFieldTableCache>
                    </c15:dlblFTEntry>
                  </c15:dlblFieldTable>
                  <c15:showDataLabelsRange val="0"/>
                </c:ext>
                <c:ext xmlns:c16="http://schemas.microsoft.com/office/drawing/2014/chart" uri="{C3380CC4-5D6E-409C-BE32-E72D297353CC}">
                  <c16:uniqueId val="{00000036-B85C-44A5-B19E-04624DA4E15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Dot!$BY$24:$BY$41</c:f>
              <c:numCache>
                <c:formatCode>General</c:formatCode>
                <c:ptCount val="18"/>
                <c:pt idx="0">
                  <c:v>3.35</c:v>
                </c:pt>
                <c:pt idx="1">
                  <c:v>3.35</c:v>
                </c:pt>
                <c:pt idx="2">
                  <c:v>3.35</c:v>
                </c:pt>
                <c:pt idx="3">
                  <c:v>3.35</c:v>
                </c:pt>
                <c:pt idx="4">
                  <c:v>3.35</c:v>
                </c:pt>
                <c:pt idx="5">
                  <c:v>3.35</c:v>
                </c:pt>
                <c:pt idx="6">
                  <c:v>3.35</c:v>
                </c:pt>
                <c:pt idx="7">
                  <c:v>3.35</c:v>
                </c:pt>
                <c:pt idx="8">
                  <c:v>3.35</c:v>
                </c:pt>
                <c:pt idx="9">
                  <c:v>3.35</c:v>
                </c:pt>
                <c:pt idx="10">
                  <c:v>3.35</c:v>
                </c:pt>
                <c:pt idx="11">
                  <c:v>3.35</c:v>
                </c:pt>
                <c:pt idx="12">
                  <c:v>3.35</c:v>
                </c:pt>
                <c:pt idx="13">
                  <c:v>3.35</c:v>
                </c:pt>
                <c:pt idx="14">
                  <c:v>3.35</c:v>
                </c:pt>
                <c:pt idx="15">
                  <c:v>3.35</c:v>
                </c:pt>
                <c:pt idx="16">
                  <c:v>3.35</c:v>
                </c:pt>
                <c:pt idx="17">
                  <c:v>3.35</c:v>
                </c:pt>
              </c:numCache>
            </c:numRef>
          </c:xVal>
          <c:yVal>
            <c:numRef>
              <c:f>Dot!$BZ$24:$BZ$41</c:f>
              <c:numCache>
                <c:formatCode>General</c:formatCode>
                <c:ptCount val="18"/>
                <c:pt idx="0">
                  <c:v>0</c:v>
                </c:pt>
                <c:pt idx="1">
                  <c:v>0.41</c:v>
                </c:pt>
                <c:pt idx="2">
                  <c:v>0.82</c:v>
                </c:pt>
                <c:pt idx="3">
                  <c:v>1</c:v>
                </c:pt>
                <c:pt idx="4">
                  <c:v>1.41</c:v>
                </c:pt>
                <c:pt idx="5">
                  <c:v>1.8199999999999998</c:v>
                </c:pt>
                <c:pt idx="6">
                  <c:v>2</c:v>
                </c:pt>
                <c:pt idx="7">
                  <c:v>2.41</c:v>
                </c:pt>
                <c:pt idx="8">
                  <c:v>2.82</c:v>
                </c:pt>
                <c:pt idx="9">
                  <c:v>3</c:v>
                </c:pt>
                <c:pt idx="10">
                  <c:v>3.41</c:v>
                </c:pt>
                <c:pt idx="11">
                  <c:v>3.82</c:v>
                </c:pt>
                <c:pt idx="12">
                  <c:v>4</c:v>
                </c:pt>
                <c:pt idx="13">
                  <c:v>4.41</c:v>
                </c:pt>
                <c:pt idx="14">
                  <c:v>4.82</c:v>
                </c:pt>
                <c:pt idx="15">
                  <c:v>5</c:v>
                </c:pt>
                <c:pt idx="16">
                  <c:v>5.41</c:v>
                </c:pt>
                <c:pt idx="17">
                  <c:v>5.82</c:v>
                </c:pt>
              </c:numCache>
            </c:numRef>
          </c:yVal>
          <c:smooth val="0"/>
          <c:extLst>
            <c:ext xmlns:c16="http://schemas.microsoft.com/office/drawing/2014/chart" uri="{C3380CC4-5D6E-409C-BE32-E72D297353CC}">
              <c16:uniqueId val="{00000012-B85C-44A5-B19E-04624DA4E15F}"/>
            </c:ext>
          </c:extLst>
        </c:ser>
        <c:dLbls>
          <c:showLegendKey val="0"/>
          <c:showVal val="0"/>
          <c:showCatName val="0"/>
          <c:showSerName val="0"/>
          <c:showPercent val="0"/>
          <c:showBubbleSize val="0"/>
        </c:dLbls>
        <c:axId val="1904826063"/>
        <c:axId val="1904826543"/>
      </c:scatterChart>
      <c:catAx>
        <c:axId val="506449167"/>
        <c:scaling>
          <c:orientation val="minMax"/>
        </c:scaling>
        <c:delete val="0"/>
        <c:axPos val="b"/>
        <c:numFmt formatCode="General" sourceLinked="1"/>
        <c:majorTickMark val="none"/>
        <c:minorTickMark val="none"/>
        <c:tickLblPos val="low"/>
        <c:spPr>
          <a:ln>
            <a:solidFill>
              <a:srgbClr val="A6A6A6"/>
            </a:solidFill>
          </a:ln>
        </c:spPr>
        <c:txPr>
          <a:bodyPr/>
          <a:lstStyle/>
          <a:p>
            <a:pPr>
              <a:defRPr sz="800"/>
            </a:pPr>
            <a:endParaRPr lang="en-US"/>
          </a:p>
        </c:txPr>
        <c:crossAx val="1904829903"/>
        <c:crosses val="autoZero"/>
        <c:auto val="1"/>
        <c:lblAlgn val="ctr"/>
        <c:lblOffset val="100"/>
        <c:noMultiLvlLbl val="0"/>
      </c:catAx>
      <c:valAx>
        <c:axId val="1904829903"/>
        <c:scaling>
          <c:orientation val="minMax"/>
          <c:max val="6"/>
          <c:min val="0"/>
        </c:scaling>
        <c:delete val="0"/>
        <c:axPos val="l"/>
        <c:numFmt formatCode="General"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506449167"/>
        <c:crosses val="autoZero"/>
        <c:crossBetween val="between"/>
      </c:valAx>
      <c:valAx>
        <c:axId val="1904826543"/>
        <c:scaling>
          <c:orientation val="minMax"/>
          <c:max val="6"/>
          <c:min val="0"/>
        </c:scaling>
        <c:delete val="0"/>
        <c:axPos val="r"/>
        <c:numFmt formatCode="General" sourceLinked="1"/>
        <c:majorTickMark val="none"/>
        <c:minorTickMark val="none"/>
        <c:tickLblPos val="none"/>
        <c:spPr>
          <a:noFill/>
          <a:ln w="12700" cap="flat" cmpd="sng" algn="ctr">
            <a:noFill/>
            <a:prstDash val="solid"/>
            <a:round/>
          </a:ln>
          <a:effectLst/>
          <a:extLst>
            <a:ext uri="{91240B29-F687-4F45-9708-019B960494DF}">
              <a14:hiddenLine xmlns:a14="http://schemas.microsoft.com/office/drawing/2010/main" w="12700" cap="flat" cmpd="sng" algn="ctr">
                <a:solidFill>
                  <a:sysClr val="windowText" lastClr="000000">
                    <a:tint val="75000"/>
                  </a:sysClr>
                </a:solidFill>
                <a:prstDash val="solid"/>
                <a:round/>
              </a14:hiddenLine>
            </a:ext>
          </a:extLst>
        </c:spPr>
        <c:crossAx val="1904826063"/>
        <c:crosses val="max"/>
        <c:crossBetween val="midCat"/>
      </c:valAx>
      <c:valAx>
        <c:axId val="1904826063"/>
        <c:scaling>
          <c:orientation val="minMax"/>
          <c:max val="41.5"/>
          <c:min val="0.5"/>
        </c:scaling>
        <c:delete val="1"/>
        <c:axPos val="b"/>
        <c:numFmt formatCode="General" sourceLinked="1"/>
        <c:majorTickMark val="none"/>
        <c:minorTickMark val="none"/>
        <c:tickLblPos val="none"/>
        <c:crossAx val="1904826543"/>
        <c:crossBetween val="midCat"/>
      </c:valAx>
    </c:plotArea>
    <c:legend>
      <c:legendPos val="t"/>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overlay val="0"/>
      <c:txPr>
        <a:bodyPr/>
        <a:lstStyle/>
        <a:p>
          <a:pPr>
            <a:defRPr sz="900"/>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79</xdr:row>
      <xdr:rowOff>0</xdr:rowOff>
    </xdr:from>
    <xdr:to>
      <xdr:col>13</xdr:col>
      <xdr:colOff>527050</xdr:colOff>
      <xdr:row>113</xdr:row>
      <xdr:rowOff>88900</xdr:rowOff>
    </xdr:to>
    <xdr:graphicFrame macro="">
      <xdr:nvGraphicFramePr>
        <xdr:cNvPr id="2" name="Chart 1">
          <a:extLst>
            <a:ext uri="{FF2B5EF4-FFF2-40B4-BE49-F238E27FC236}">
              <a16:creationId xmlns:a16="http://schemas.microsoft.com/office/drawing/2014/main" id="{D142ED2A-0BB5-7370-38AC-BCA7135020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79</xdr:row>
      <xdr:rowOff>0</xdr:rowOff>
    </xdr:from>
    <xdr:to>
      <xdr:col>13</xdr:col>
      <xdr:colOff>527050</xdr:colOff>
      <xdr:row>113</xdr:row>
      <xdr:rowOff>88900</xdr:rowOff>
    </xdr:to>
    <xdr:graphicFrame macro="">
      <xdr:nvGraphicFramePr>
        <xdr:cNvPr id="2" name="Chart 1">
          <a:extLst>
            <a:ext uri="{FF2B5EF4-FFF2-40B4-BE49-F238E27FC236}">
              <a16:creationId xmlns:a16="http://schemas.microsoft.com/office/drawing/2014/main" id="{8222C169-59B1-A6F3-F27B-42DA927136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97</xdr:row>
      <xdr:rowOff>0</xdr:rowOff>
    </xdr:from>
    <xdr:to>
      <xdr:col>13</xdr:col>
      <xdr:colOff>527050</xdr:colOff>
      <xdr:row>131</xdr:row>
      <xdr:rowOff>88900</xdr:rowOff>
    </xdr:to>
    <xdr:graphicFrame macro="">
      <xdr:nvGraphicFramePr>
        <xdr:cNvPr id="2" name="Chart 1">
          <a:extLst>
            <a:ext uri="{FF2B5EF4-FFF2-40B4-BE49-F238E27FC236}">
              <a16:creationId xmlns:a16="http://schemas.microsoft.com/office/drawing/2014/main" id="{BE335B89-C2AE-301C-C03C-FEFAAB72A7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55</xdr:row>
      <xdr:rowOff>0</xdr:rowOff>
    </xdr:from>
    <xdr:to>
      <xdr:col>13</xdr:col>
      <xdr:colOff>527050</xdr:colOff>
      <xdr:row>89</xdr:row>
      <xdr:rowOff>88900</xdr:rowOff>
    </xdr:to>
    <xdr:graphicFrame macro="">
      <xdr:nvGraphicFramePr>
        <xdr:cNvPr id="2" name="Chart 1">
          <a:extLst>
            <a:ext uri="{FF2B5EF4-FFF2-40B4-BE49-F238E27FC236}">
              <a16:creationId xmlns:a16="http://schemas.microsoft.com/office/drawing/2014/main" id="{A785D76F-8666-D16A-86D1-296F43BF53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66</xdr:row>
      <xdr:rowOff>0</xdr:rowOff>
    </xdr:from>
    <xdr:to>
      <xdr:col>13</xdr:col>
      <xdr:colOff>527050</xdr:colOff>
      <xdr:row>100</xdr:row>
      <xdr:rowOff>88900</xdr:rowOff>
    </xdr:to>
    <xdr:graphicFrame macro="">
      <xdr:nvGraphicFramePr>
        <xdr:cNvPr id="2" name="Chart 1">
          <a:extLst>
            <a:ext uri="{FF2B5EF4-FFF2-40B4-BE49-F238E27FC236}">
              <a16:creationId xmlns:a16="http://schemas.microsoft.com/office/drawing/2014/main" id="{1147AF03-552E-B1FB-9ECE-C7C0F7D859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66</xdr:row>
      <xdr:rowOff>0</xdr:rowOff>
    </xdr:from>
    <xdr:to>
      <xdr:col>13</xdr:col>
      <xdr:colOff>527050</xdr:colOff>
      <xdr:row>100</xdr:row>
      <xdr:rowOff>88900</xdr:rowOff>
    </xdr:to>
    <xdr:graphicFrame macro="">
      <xdr:nvGraphicFramePr>
        <xdr:cNvPr id="2" name="Chart 1">
          <a:extLst>
            <a:ext uri="{FF2B5EF4-FFF2-40B4-BE49-F238E27FC236}">
              <a16:creationId xmlns:a16="http://schemas.microsoft.com/office/drawing/2014/main" id="{799A45B8-C715-B5D8-4BF7-3A93D35D50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645D6-B4D1-476B-B60A-48C3CE431D9F}">
  <sheetPr>
    <pageSetUpPr fitToPage="1"/>
  </sheetPr>
  <dimension ref="A1:AZ83"/>
  <sheetViews>
    <sheetView showGridLines="0" tabSelected="1" workbookViewId="0"/>
  </sheetViews>
  <sheetFormatPr defaultRowHeight="14.5" x14ac:dyDescent="0.35"/>
  <cols>
    <col min="1" max="1" width="18.6328125" customWidth="1"/>
    <col min="17" max="17" width="8.90625" bestFit="1" customWidth="1"/>
  </cols>
  <sheetData>
    <row r="1" spans="1:17" ht="17" x14ac:dyDescent="0.4">
      <c r="A1" s="2" t="s">
        <v>0</v>
      </c>
    </row>
    <row r="2" spans="1:17" x14ac:dyDescent="0.35">
      <c r="A2" s="3" t="s">
        <v>1</v>
      </c>
      <c r="P2" s="1" t="s">
        <v>36</v>
      </c>
    </row>
    <row r="3" spans="1:17" x14ac:dyDescent="0.35">
      <c r="P3" t="s">
        <v>37</v>
      </c>
      <c r="Q3">
        <v>5</v>
      </c>
    </row>
    <row r="4" spans="1:17" x14ac:dyDescent="0.35">
      <c r="B4" s="4" t="s">
        <v>3</v>
      </c>
      <c r="C4" s="4"/>
      <c r="D4" s="4"/>
      <c r="E4" s="4"/>
      <c r="F4" s="4"/>
      <c r="G4" s="4"/>
      <c r="H4" s="4"/>
      <c r="I4" s="4"/>
      <c r="J4" s="4"/>
      <c r="K4" s="4"/>
      <c r="L4" s="4"/>
      <c r="M4" s="4"/>
      <c r="P4" t="s">
        <v>38</v>
      </c>
      <c r="Q4">
        <v>4</v>
      </c>
    </row>
    <row r="5" spans="1:17" x14ac:dyDescent="0.35">
      <c r="A5" s="1" t="s">
        <v>2</v>
      </c>
      <c r="B5" s="1" t="s">
        <v>4</v>
      </c>
      <c r="C5" s="1" t="s">
        <v>5</v>
      </c>
      <c r="D5" s="1" t="s">
        <v>6</v>
      </c>
      <c r="E5" s="1" t="s">
        <v>7</v>
      </c>
      <c r="F5" s="1" t="s">
        <v>8</v>
      </c>
      <c r="G5" s="1" t="s">
        <v>9</v>
      </c>
      <c r="H5" s="1" t="s">
        <v>10</v>
      </c>
      <c r="I5" s="1" t="s">
        <v>11</v>
      </c>
      <c r="J5" s="1" t="s">
        <v>12</v>
      </c>
      <c r="K5" s="1" t="s">
        <v>13</v>
      </c>
      <c r="L5" s="1" t="s">
        <v>14</v>
      </c>
      <c r="M5" s="1" t="s">
        <v>15</v>
      </c>
      <c r="P5" t="s">
        <v>39</v>
      </c>
      <c r="Q5">
        <v>12</v>
      </c>
    </row>
    <row r="6" spans="1:17" x14ac:dyDescent="0.35">
      <c r="A6" t="s">
        <v>16</v>
      </c>
      <c r="B6" s="5">
        <v>725</v>
      </c>
      <c r="C6" s="5">
        <v>804.6</v>
      </c>
      <c r="D6" s="5">
        <v>884.2</v>
      </c>
      <c r="E6" s="5">
        <v>783.9</v>
      </c>
      <c r="F6" s="5">
        <v>863.5</v>
      </c>
      <c r="G6" s="5">
        <v>943.1</v>
      </c>
      <c r="H6" s="5">
        <v>842.7</v>
      </c>
      <c r="I6" s="5">
        <v>922.4</v>
      </c>
      <c r="J6" s="5">
        <v>1002</v>
      </c>
      <c r="K6" s="5">
        <v>901.6</v>
      </c>
      <c r="L6" s="5">
        <v>981.2</v>
      </c>
      <c r="M6" s="5">
        <v>1060.9000000000001</v>
      </c>
      <c r="P6" t="s">
        <v>40</v>
      </c>
      <c r="Q6">
        <v>1</v>
      </c>
    </row>
    <row r="7" spans="1:17" x14ac:dyDescent="0.35">
      <c r="A7" t="s">
        <v>17</v>
      </c>
      <c r="B7" s="5">
        <v>565</v>
      </c>
      <c r="C7" s="5">
        <v>639.1</v>
      </c>
      <c r="D7" s="5">
        <v>533.20000000000005</v>
      </c>
      <c r="E7" s="5">
        <v>607.4</v>
      </c>
      <c r="F7" s="5">
        <v>681.5</v>
      </c>
      <c r="G7" s="5">
        <v>575.6</v>
      </c>
      <c r="H7" s="5">
        <v>649.79999999999995</v>
      </c>
      <c r="I7" s="5">
        <v>723.9</v>
      </c>
      <c r="J7" s="5">
        <v>618</v>
      </c>
      <c r="K7" s="5">
        <v>692.1</v>
      </c>
      <c r="L7" s="5">
        <v>766.2</v>
      </c>
      <c r="M7" s="5">
        <v>660.4</v>
      </c>
      <c r="P7" t="s">
        <v>41</v>
      </c>
      <c r="Q7">
        <v>4</v>
      </c>
    </row>
    <row r="8" spans="1:17" x14ac:dyDescent="0.35">
      <c r="A8" t="s">
        <v>18</v>
      </c>
      <c r="B8" s="5">
        <v>1010</v>
      </c>
      <c r="C8" s="5">
        <v>913.7</v>
      </c>
      <c r="D8" s="5">
        <v>997.5</v>
      </c>
      <c r="E8" s="5">
        <v>1081.2</v>
      </c>
      <c r="F8" s="5">
        <v>985</v>
      </c>
      <c r="G8" s="5">
        <v>1068.8</v>
      </c>
      <c r="H8" s="5">
        <v>1152.5</v>
      </c>
      <c r="I8" s="5">
        <v>1056.2</v>
      </c>
      <c r="J8" s="5">
        <v>1140</v>
      </c>
      <c r="K8" s="5">
        <v>1223.8</v>
      </c>
      <c r="L8" s="5">
        <v>1127.5</v>
      </c>
      <c r="M8" s="5">
        <v>1211.2</v>
      </c>
      <c r="P8" t="s">
        <v>42</v>
      </c>
      <c r="Q8">
        <v>5</v>
      </c>
    </row>
    <row r="9" spans="1:17" x14ac:dyDescent="0.35">
      <c r="A9" t="s">
        <v>19</v>
      </c>
      <c r="B9" s="5">
        <v>670</v>
      </c>
      <c r="C9" s="5">
        <v>748.2</v>
      </c>
      <c r="D9" s="5">
        <v>826.5</v>
      </c>
      <c r="E9" s="5">
        <v>724.8</v>
      </c>
      <c r="F9" s="5">
        <v>803</v>
      </c>
      <c r="G9" s="5">
        <v>881.2</v>
      </c>
      <c r="H9" s="5">
        <v>779.5</v>
      </c>
      <c r="I9" s="5">
        <v>857.8</v>
      </c>
      <c r="J9" s="5">
        <v>936</v>
      </c>
      <c r="K9" s="5">
        <v>834.3</v>
      </c>
      <c r="L9" s="5">
        <v>912.5</v>
      </c>
      <c r="M9" s="5">
        <v>990.7</v>
      </c>
      <c r="P9" t="s">
        <v>43</v>
      </c>
      <c r="Q9">
        <v>1</v>
      </c>
    </row>
    <row r="10" spans="1:17" x14ac:dyDescent="0.35">
      <c r="A10" t="s">
        <v>20</v>
      </c>
      <c r="B10" s="5">
        <v>510</v>
      </c>
      <c r="C10" s="5">
        <v>582.79999999999995</v>
      </c>
      <c r="D10" s="5">
        <v>475.5</v>
      </c>
      <c r="E10" s="5">
        <v>548.20000000000005</v>
      </c>
      <c r="F10" s="5">
        <v>621</v>
      </c>
      <c r="G10" s="5">
        <v>513.79999999999995</v>
      </c>
      <c r="H10" s="5">
        <v>586.5</v>
      </c>
      <c r="I10" s="5">
        <v>659.2</v>
      </c>
      <c r="J10" s="5">
        <v>552</v>
      </c>
      <c r="K10" s="5">
        <v>624.79999999999995</v>
      </c>
      <c r="L10" s="5">
        <v>697.5</v>
      </c>
      <c r="M10" s="5">
        <v>590.20000000000005</v>
      </c>
      <c r="P10" t="s">
        <v>44</v>
      </c>
      <c r="Q10">
        <v>12</v>
      </c>
    </row>
    <row r="11" spans="1:17" x14ac:dyDescent="0.35">
      <c r="A11" t="s">
        <v>21</v>
      </c>
      <c r="B11" s="5">
        <v>955</v>
      </c>
      <c r="C11" s="5">
        <v>857.4</v>
      </c>
      <c r="D11" s="5">
        <v>939.8</v>
      </c>
      <c r="E11" s="5">
        <v>1022.1</v>
      </c>
      <c r="F11" s="5">
        <v>924.5</v>
      </c>
      <c r="G11" s="5">
        <v>1006.9</v>
      </c>
      <c r="H11" s="5">
        <v>1089.2</v>
      </c>
      <c r="I11" s="5">
        <v>991.6</v>
      </c>
      <c r="J11" s="5">
        <v>1074</v>
      </c>
      <c r="K11" s="5">
        <v>1156.4000000000001</v>
      </c>
      <c r="L11" s="5">
        <v>1058.8</v>
      </c>
      <c r="M11" s="5">
        <v>1141.0999999999999</v>
      </c>
      <c r="P11" t="s">
        <v>45</v>
      </c>
      <c r="Q11">
        <v>1</v>
      </c>
    </row>
    <row r="12" spans="1:17" x14ac:dyDescent="0.35">
      <c r="A12" t="s">
        <v>22</v>
      </c>
      <c r="B12" s="5">
        <v>615</v>
      </c>
      <c r="C12" s="5">
        <v>691.9</v>
      </c>
      <c r="D12" s="5">
        <v>768.8</v>
      </c>
      <c r="E12" s="5">
        <v>665.6</v>
      </c>
      <c r="F12" s="5">
        <v>742.5</v>
      </c>
      <c r="G12" s="5">
        <v>819.4</v>
      </c>
      <c r="H12" s="5">
        <v>716.2</v>
      </c>
      <c r="I12" s="5">
        <v>793.1</v>
      </c>
      <c r="J12" s="5">
        <v>870</v>
      </c>
      <c r="K12" s="5">
        <v>766.9</v>
      </c>
      <c r="L12" s="5">
        <v>843.8</v>
      </c>
      <c r="M12" s="5">
        <v>920.6</v>
      </c>
      <c r="P12" t="s">
        <v>46</v>
      </c>
      <c r="Q12">
        <v>3</v>
      </c>
    </row>
    <row r="13" spans="1:17" x14ac:dyDescent="0.35">
      <c r="A13" t="s">
        <v>23</v>
      </c>
      <c r="B13" s="5">
        <v>455</v>
      </c>
      <c r="C13" s="5">
        <v>526.4</v>
      </c>
      <c r="D13" s="5">
        <v>417.8</v>
      </c>
      <c r="E13" s="5">
        <v>489.1</v>
      </c>
      <c r="F13" s="5">
        <v>560.5</v>
      </c>
      <c r="G13" s="5">
        <v>451.9</v>
      </c>
      <c r="H13" s="5">
        <v>523.20000000000005</v>
      </c>
      <c r="I13" s="5">
        <v>594.6</v>
      </c>
      <c r="J13" s="5">
        <v>486</v>
      </c>
      <c r="K13" s="5">
        <v>557.4</v>
      </c>
      <c r="L13" s="5">
        <v>628.79999999999995</v>
      </c>
      <c r="M13" s="5">
        <v>520.1</v>
      </c>
      <c r="P13" t="s">
        <v>47</v>
      </c>
      <c r="Q13">
        <v>0.82</v>
      </c>
    </row>
    <row r="14" spans="1:17" x14ac:dyDescent="0.35">
      <c r="A14" t="s">
        <v>24</v>
      </c>
      <c r="B14" s="5">
        <v>900</v>
      </c>
      <c r="C14" s="5">
        <v>801</v>
      </c>
      <c r="D14" s="5">
        <v>882</v>
      </c>
      <c r="E14" s="5">
        <v>963</v>
      </c>
      <c r="F14" s="5">
        <v>864</v>
      </c>
      <c r="G14" s="5">
        <v>945</v>
      </c>
      <c r="H14" s="5">
        <v>1026</v>
      </c>
      <c r="I14" s="5">
        <v>927</v>
      </c>
      <c r="J14" s="5">
        <v>1008</v>
      </c>
      <c r="K14" s="5">
        <v>1089</v>
      </c>
      <c r="L14" s="5">
        <v>990</v>
      </c>
      <c r="M14" s="5">
        <v>1071</v>
      </c>
      <c r="P14" t="s">
        <v>48</v>
      </c>
      <c r="Q14" s="6">
        <f>MIN(0,MIN($B$6:$M$25))</f>
        <v>0</v>
      </c>
    </row>
    <row r="15" spans="1:17" x14ac:dyDescent="0.35">
      <c r="A15" t="s">
        <v>25</v>
      </c>
      <c r="B15" s="5">
        <v>560</v>
      </c>
      <c r="C15" s="5">
        <v>635.5</v>
      </c>
      <c r="D15" s="5">
        <v>711</v>
      </c>
      <c r="E15" s="5">
        <v>606.5</v>
      </c>
      <c r="F15" s="5">
        <v>682</v>
      </c>
      <c r="G15" s="5">
        <v>757.5</v>
      </c>
      <c r="H15" s="5">
        <v>653</v>
      </c>
      <c r="I15" s="5">
        <v>728.5</v>
      </c>
      <c r="J15" s="5">
        <v>804</v>
      </c>
      <c r="K15" s="5">
        <v>699.5</v>
      </c>
      <c r="L15" s="5">
        <v>775</v>
      </c>
      <c r="M15" s="5">
        <v>850.5</v>
      </c>
      <c r="P15" t="s">
        <v>49</v>
      </c>
      <c r="Q15" s="6">
        <f>MAX($B$6:$M$25)</f>
        <v>1247.5</v>
      </c>
    </row>
    <row r="16" spans="1:17" x14ac:dyDescent="0.35">
      <c r="A16" t="s">
        <v>26</v>
      </c>
      <c r="B16" s="5">
        <v>400</v>
      </c>
      <c r="C16" s="5">
        <v>470</v>
      </c>
      <c r="D16" s="5">
        <v>360</v>
      </c>
      <c r="E16" s="5">
        <v>430</v>
      </c>
      <c r="F16" s="5">
        <v>500</v>
      </c>
      <c r="G16" s="5">
        <v>390</v>
      </c>
      <c r="H16" s="5">
        <v>460</v>
      </c>
      <c r="I16" s="5">
        <v>530</v>
      </c>
      <c r="J16" s="5">
        <v>420</v>
      </c>
      <c r="K16" s="5">
        <v>490</v>
      </c>
      <c r="L16" s="5">
        <v>560</v>
      </c>
      <c r="M16" s="5">
        <v>450</v>
      </c>
      <c r="P16" t="s">
        <v>50</v>
      </c>
      <c r="Q16" s="6">
        <f>10^INT(LOG10(MAX(0.000000001,$Q$15-$Q$14)))/2</f>
        <v>500</v>
      </c>
    </row>
    <row r="17" spans="1:52" x14ac:dyDescent="0.35">
      <c r="A17" t="s">
        <v>27</v>
      </c>
      <c r="B17" s="5">
        <v>845</v>
      </c>
      <c r="C17" s="5">
        <v>744.6</v>
      </c>
      <c r="D17" s="5">
        <v>824.2</v>
      </c>
      <c r="E17" s="5">
        <v>903.9</v>
      </c>
      <c r="F17" s="5">
        <v>803.5</v>
      </c>
      <c r="G17" s="5">
        <v>883.1</v>
      </c>
      <c r="H17" s="5">
        <v>962.7</v>
      </c>
      <c r="I17" s="5">
        <v>862.4</v>
      </c>
      <c r="J17" s="5">
        <v>942</v>
      </c>
      <c r="K17" s="5">
        <v>1021.6</v>
      </c>
      <c r="L17" s="5">
        <v>921.2</v>
      </c>
      <c r="M17" s="5">
        <v>1000.9</v>
      </c>
      <c r="P17" t="s">
        <v>51</v>
      </c>
      <c r="Q17" s="6">
        <f>FLOOR($Q$14,$Q$16)</f>
        <v>0</v>
      </c>
    </row>
    <row r="18" spans="1:52" x14ac:dyDescent="0.35">
      <c r="A18" t="s">
        <v>28</v>
      </c>
      <c r="B18" s="5">
        <v>505</v>
      </c>
      <c r="C18" s="5">
        <v>579.1</v>
      </c>
      <c r="D18" s="5">
        <v>653.20000000000005</v>
      </c>
      <c r="E18" s="5">
        <v>547.4</v>
      </c>
      <c r="F18" s="5">
        <v>621.5</v>
      </c>
      <c r="G18" s="5">
        <v>695.6</v>
      </c>
      <c r="H18" s="5">
        <v>589.79999999999995</v>
      </c>
      <c r="I18" s="5">
        <v>663.9</v>
      </c>
      <c r="J18" s="5">
        <v>738</v>
      </c>
      <c r="K18" s="5">
        <v>632.1</v>
      </c>
      <c r="L18" s="5">
        <v>706.2</v>
      </c>
      <c r="M18" s="5">
        <v>780.4</v>
      </c>
      <c r="P18" t="s">
        <v>52</v>
      </c>
      <c r="Q18" s="6">
        <f>CEILING($Q$15,$Q$16)</f>
        <v>1500</v>
      </c>
    </row>
    <row r="19" spans="1:52" x14ac:dyDescent="0.35">
      <c r="A19" t="s">
        <v>29</v>
      </c>
      <c r="B19" s="5">
        <v>950</v>
      </c>
      <c r="C19" s="5">
        <v>1033.8</v>
      </c>
      <c r="D19" s="5">
        <v>937.5</v>
      </c>
      <c r="E19" s="5">
        <v>1021.2</v>
      </c>
      <c r="F19" s="5">
        <v>1105</v>
      </c>
      <c r="G19" s="5">
        <v>1008.8</v>
      </c>
      <c r="H19" s="5">
        <v>1092.5</v>
      </c>
      <c r="I19" s="5">
        <v>1176.2</v>
      </c>
      <c r="J19" s="5">
        <v>1080</v>
      </c>
      <c r="K19" s="5">
        <v>1163.8</v>
      </c>
      <c r="L19" s="5">
        <v>1247.5</v>
      </c>
      <c r="M19" s="5">
        <v>1151.2</v>
      </c>
      <c r="P19" t="s">
        <v>53</v>
      </c>
      <c r="Q19" s="6">
        <f>MAX(0.000000001,$Q$18-$Q$17)</f>
        <v>1500</v>
      </c>
    </row>
    <row r="20" spans="1:52" x14ac:dyDescent="0.35">
      <c r="A20" t="s">
        <v>30</v>
      </c>
      <c r="B20" s="5">
        <v>790</v>
      </c>
      <c r="C20" s="5">
        <v>688.2</v>
      </c>
      <c r="D20" s="5">
        <v>766.5</v>
      </c>
      <c r="E20" s="5">
        <v>844.8</v>
      </c>
      <c r="F20" s="5">
        <v>743</v>
      </c>
      <c r="G20" s="5">
        <v>821.2</v>
      </c>
      <c r="H20" s="5">
        <v>899.5</v>
      </c>
      <c r="I20" s="5">
        <v>797.8</v>
      </c>
      <c r="J20" s="5">
        <v>876</v>
      </c>
      <c r="K20" s="5">
        <v>954.3</v>
      </c>
      <c r="L20" s="5">
        <v>852.5</v>
      </c>
      <c r="M20" s="5">
        <v>930.7</v>
      </c>
      <c r="P20" t="s">
        <v>54</v>
      </c>
      <c r="Q20" s="6">
        <f>(0-$Q$17)/$Q$19*$Q$13</f>
        <v>0</v>
      </c>
    </row>
    <row r="21" spans="1:52" x14ac:dyDescent="0.35">
      <c r="A21" t="s">
        <v>31</v>
      </c>
      <c r="B21" s="5">
        <v>450</v>
      </c>
      <c r="C21" s="5">
        <v>522.79999999999995</v>
      </c>
      <c r="D21" s="5">
        <v>595.5</v>
      </c>
      <c r="E21" s="5">
        <v>488.2</v>
      </c>
      <c r="F21" s="5">
        <v>561</v>
      </c>
      <c r="G21" s="5">
        <v>633.79999999999995</v>
      </c>
      <c r="H21" s="5">
        <v>526.5</v>
      </c>
      <c r="I21" s="5">
        <v>599.20000000000005</v>
      </c>
      <c r="J21" s="5">
        <v>672</v>
      </c>
      <c r="K21" s="5">
        <v>564.79999999999995</v>
      </c>
      <c r="L21" s="5">
        <v>637.5</v>
      </c>
      <c r="M21" s="5">
        <v>710.2</v>
      </c>
    </row>
    <row r="22" spans="1:52" x14ac:dyDescent="0.35">
      <c r="A22" t="s">
        <v>32</v>
      </c>
      <c r="B22" s="5">
        <v>895</v>
      </c>
      <c r="C22" s="5">
        <v>977.4</v>
      </c>
      <c r="D22" s="5">
        <v>879.8</v>
      </c>
      <c r="E22" s="5">
        <v>962.1</v>
      </c>
      <c r="F22" s="5">
        <v>1044.5</v>
      </c>
      <c r="G22" s="5">
        <v>946.9</v>
      </c>
      <c r="H22" s="5">
        <v>1029.2</v>
      </c>
      <c r="I22" s="5">
        <v>1111.5999999999999</v>
      </c>
      <c r="J22" s="5">
        <v>1014</v>
      </c>
      <c r="K22" s="5">
        <v>1096.4000000000001</v>
      </c>
      <c r="L22" s="5">
        <v>1178.8</v>
      </c>
      <c r="M22" s="5">
        <v>1081.0999999999999</v>
      </c>
    </row>
    <row r="23" spans="1:52" x14ac:dyDescent="0.35">
      <c r="A23" t="s">
        <v>33</v>
      </c>
      <c r="B23" s="5">
        <v>735</v>
      </c>
      <c r="C23" s="5">
        <v>631.9</v>
      </c>
      <c r="D23" s="5">
        <v>708.8</v>
      </c>
      <c r="E23" s="5">
        <v>785.6</v>
      </c>
      <c r="F23" s="5">
        <v>682.5</v>
      </c>
      <c r="G23" s="5">
        <v>759.4</v>
      </c>
      <c r="H23" s="5">
        <v>836.2</v>
      </c>
      <c r="I23" s="5">
        <v>733.1</v>
      </c>
      <c r="J23" s="5">
        <v>810</v>
      </c>
      <c r="K23" s="5">
        <v>886.9</v>
      </c>
      <c r="L23" s="5">
        <v>783.8</v>
      </c>
      <c r="M23" s="5">
        <v>860.6</v>
      </c>
      <c r="P23" s="1" t="s">
        <v>55</v>
      </c>
      <c r="Q23" s="1" t="s">
        <v>56</v>
      </c>
      <c r="R23" s="1" t="s">
        <v>57</v>
      </c>
      <c r="S23" s="1" t="s">
        <v>58</v>
      </c>
      <c r="T23" s="1" t="s">
        <v>59</v>
      </c>
      <c r="U23" s="1" t="s">
        <v>60</v>
      </c>
      <c r="V23" s="1" t="s">
        <v>61</v>
      </c>
      <c r="W23" s="1" t="s">
        <v>62</v>
      </c>
      <c r="X23" s="1" t="s">
        <v>63</v>
      </c>
      <c r="Y23" s="1" t="s">
        <v>64</v>
      </c>
      <c r="Z23" s="1" t="s">
        <v>65</v>
      </c>
      <c r="AA23" s="1" t="s">
        <v>66</v>
      </c>
      <c r="AB23" s="1" t="s">
        <v>67</v>
      </c>
      <c r="AC23" s="1" t="s">
        <v>68</v>
      </c>
      <c r="AD23" s="1" t="s">
        <v>69</v>
      </c>
      <c r="AE23" s="1"/>
      <c r="AF23" s="1" t="s">
        <v>70</v>
      </c>
      <c r="AG23" s="1"/>
      <c r="AH23" s="1"/>
      <c r="AI23" s="1" t="s">
        <v>71</v>
      </c>
      <c r="AJ23" s="1"/>
      <c r="AK23" s="1"/>
      <c r="AL23" s="1" t="s">
        <v>72</v>
      </c>
      <c r="AM23" s="1"/>
      <c r="AN23" s="1"/>
      <c r="AO23" s="1" t="s">
        <v>73</v>
      </c>
      <c r="AP23" s="1"/>
      <c r="AQ23" s="1"/>
      <c r="AR23" s="1"/>
      <c r="AS23" s="1" t="s">
        <v>74</v>
      </c>
      <c r="AT23" s="1"/>
      <c r="AU23" s="1"/>
      <c r="AV23" s="1"/>
      <c r="AW23" s="1"/>
      <c r="AX23" s="1"/>
      <c r="AY23" s="1"/>
      <c r="AZ23" s="1"/>
    </row>
    <row r="24" spans="1:52" x14ac:dyDescent="0.35">
      <c r="A24" t="s">
        <v>34</v>
      </c>
      <c r="B24" s="5">
        <v>395</v>
      </c>
      <c r="C24" s="5">
        <v>466.4</v>
      </c>
      <c r="D24" s="5">
        <v>537.79999999999995</v>
      </c>
      <c r="E24" s="5">
        <v>429.1</v>
      </c>
      <c r="F24" s="5">
        <v>500.5</v>
      </c>
      <c r="G24" s="5">
        <v>571.9</v>
      </c>
      <c r="H24" s="5">
        <v>463.2</v>
      </c>
      <c r="I24" s="5">
        <v>534.6</v>
      </c>
      <c r="J24" s="5">
        <v>606</v>
      </c>
      <c r="K24" s="5">
        <v>497.4</v>
      </c>
      <c r="L24" s="5">
        <v>568.79999999999995</v>
      </c>
      <c r="M24" s="5">
        <v>640.1</v>
      </c>
      <c r="P24">
        <v>1</v>
      </c>
      <c r="Q24">
        <f>P24-$Q$12</f>
        <v>-2</v>
      </c>
      <c r="R24">
        <f>IF(Q24&lt;=0,-1,INT((Q24-1)/($Q$10+$Q$11)))</f>
        <v>-1</v>
      </c>
      <c r="S24">
        <f>IF(Q24&lt;=0,-1,MOD(Q24-1,($Q$10+$Q$11)))</f>
        <v>-1</v>
      </c>
      <c r="T24">
        <f>IF(OR(S24&lt;0,S24&gt;=$Q$10),-1,INT(S24/$Q$9))</f>
        <v>-1</v>
      </c>
      <c r="U24">
        <f>IF(OR(S24&lt;0,S24&gt;=$Q$10),-1,MOD(S24,$Q$9))</f>
        <v>-1</v>
      </c>
      <c r="V24">
        <f>IF(OR(Q24&lt;=0,S24&lt;0,S24&gt;=$Q$10,R24&gt;=$Q$7),1,0)</f>
        <v>1</v>
      </c>
      <c r="W24">
        <f>IF(V24=1,-1,T24)</f>
        <v>-1</v>
      </c>
      <c r="X24">
        <f>IF(V24=1,-1,R24)</f>
        <v>-1</v>
      </c>
      <c r="Y24" t="str">
        <f>IF(V24=1,"",IF(AND(MOD(W24,3)=0,U24=INT(($Q$9-1)/2)),INDEX($B$5:$M$5,W24+1),""))</f>
        <v/>
      </c>
      <c r="Z24" t="e">
        <f>IF(OR(V24=1),NA(),0+(INDEX($B$6:$M$25,($Q$3-1-0)*$Q$4+X24+1,0*$Q$5+W24+1)-$Q$17)/$Q$19*$Q$13)</f>
        <v>#N/A</v>
      </c>
      <c r="AA24" t="e">
        <f>IF(OR(V24=1),NA(),1+(INDEX($B$6:$M$25,($Q$3-1-1)*$Q$4+X24+1,0*$Q$5+W24+1)-$Q$17)/$Q$19*$Q$13)</f>
        <v>#N/A</v>
      </c>
      <c r="AB24" t="e">
        <f>IF(OR(V24=1),NA(),2+(INDEX($B$6:$M$25,($Q$3-1-2)*$Q$4+X24+1,0*$Q$5+W24+1)-$Q$17)/$Q$19*$Q$13)</f>
        <v>#N/A</v>
      </c>
      <c r="AC24" t="e">
        <f>IF(OR(V24=1),NA(),3+(INDEX($B$6:$M$25,($Q$3-1-3)*$Q$4+X24+1,0*$Q$5+W24+1)-$Q$17)/$Q$19*$Q$13)</f>
        <v>#N/A</v>
      </c>
      <c r="AD24" t="e">
        <f>IF(OR(V24=1),NA(),4+(INDEX($B$6:$M$25,($Q$3-1-4)*$Q$4+X24+1,0*$Q$5+W24+1)-$Q$17)/$Q$19*$Q$13)</f>
        <v>#N/A</v>
      </c>
      <c r="AF24">
        <v>16</v>
      </c>
      <c r="AG24">
        <v>0</v>
      </c>
      <c r="AI24">
        <v>0.5</v>
      </c>
      <c r="AJ24">
        <v>0.90999999999999992</v>
      </c>
      <c r="AL24">
        <v>3.5</v>
      </c>
      <c r="AM24">
        <f>IF(OR($Q$17&gt;0,$Q$18&lt;0),NA(),0+$Q$20)</f>
        <v>0</v>
      </c>
      <c r="AO24">
        <v>4</v>
      </c>
      <c r="AP24">
        <f>4+$Q$13+0.03</f>
        <v>4.8500000000000005</v>
      </c>
      <c r="AQ24" t="str">
        <f>Line!$A$6</f>
        <v>Business partner 01</v>
      </c>
      <c r="AS24">
        <v>3.35</v>
      </c>
      <c r="AT24">
        <f>0+0*$Q$13</f>
        <v>0</v>
      </c>
      <c r="AU24" t="str">
        <f>TEXT($Q$17+($Q$18-$Q$17)*0,"#,##0")</f>
        <v>0</v>
      </c>
    </row>
    <row r="25" spans="1:52" x14ac:dyDescent="0.35">
      <c r="A25" t="s">
        <v>35</v>
      </c>
      <c r="B25" s="5">
        <v>840</v>
      </c>
      <c r="C25" s="5">
        <v>921</v>
      </c>
      <c r="D25" s="5">
        <v>822</v>
      </c>
      <c r="E25" s="5">
        <v>903</v>
      </c>
      <c r="F25" s="5">
        <v>984</v>
      </c>
      <c r="G25" s="5">
        <v>885</v>
      </c>
      <c r="H25" s="5">
        <v>966</v>
      </c>
      <c r="I25" s="5">
        <v>1047</v>
      </c>
      <c r="J25" s="5">
        <v>948</v>
      </c>
      <c r="K25" s="5">
        <v>1029</v>
      </c>
      <c r="L25" s="5">
        <v>1110</v>
      </c>
      <c r="M25" s="5">
        <v>1011</v>
      </c>
      <c r="P25">
        <v>2</v>
      </c>
      <c r="Q25">
        <f>P25-$Q$12</f>
        <v>-1</v>
      </c>
      <c r="R25">
        <f>IF(Q25&lt;=0,-1,INT((Q25-1)/($Q$10+$Q$11)))</f>
        <v>-1</v>
      </c>
      <c r="S25">
        <f>IF(Q25&lt;=0,-1,MOD(Q25-1,($Q$10+$Q$11)))</f>
        <v>-1</v>
      </c>
      <c r="T25">
        <f>IF(OR(S25&lt;0,S25&gt;=$Q$10),-1,INT(S25/$Q$9))</f>
        <v>-1</v>
      </c>
      <c r="U25">
        <f>IF(OR(S25&lt;0,S25&gt;=$Q$10),-1,MOD(S25,$Q$9))</f>
        <v>-1</v>
      </c>
      <c r="V25">
        <f>IF(OR(Q25&lt;=0,S25&lt;0,S25&gt;=$Q$10,R25&gt;=$Q$7),1,0)</f>
        <v>1</v>
      </c>
      <c r="W25">
        <f>IF(V25=1,-1,T25)</f>
        <v>-1</v>
      </c>
      <c r="X25">
        <f>IF(V25=1,-1,R25)</f>
        <v>-1</v>
      </c>
      <c r="Y25" t="str">
        <f>IF(V25=1,"",IF(AND(MOD(W25,3)=0,U25=INT(($Q$9-1)/2)),INDEX($B$5:$M$5,W25+1),""))</f>
        <v/>
      </c>
      <c r="Z25" t="e">
        <f>IF(OR(V25=1),NA(),0+(INDEX($B$6:$M$25,($Q$3-1-0)*$Q$4+X25+1,0*$Q$5+W25+1)-$Q$17)/$Q$19*$Q$13)</f>
        <v>#N/A</v>
      </c>
      <c r="AA25" t="e">
        <f>IF(OR(V25=1),NA(),1+(INDEX($B$6:$M$25,($Q$3-1-1)*$Q$4+X25+1,0*$Q$5+W25+1)-$Q$17)/$Q$19*$Q$13)</f>
        <v>#N/A</v>
      </c>
      <c r="AB25" t="e">
        <f>IF(OR(V25=1),NA(),2+(INDEX($B$6:$M$25,($Q$3-1-2)*$Q$4+X25+1,0*$Q$5+W25+1)-$Q$17)/$Q$19*$Q$13)</f>
        <v>#N/A</v>
      </c>
      <c r="AC25" t="e">
        <f>IF(OR(V25=1),NA(),3+(INDEX($B$6:$M$25,($Q$3-1-3)*$Q$4+X25+1,0*$Q$5+W25+1)-$Q$17)/$Q$19*$Q$13)</f>
        <v>#N/A</v>
      </c>
      <c r="AD25" t="e">
        <f>IF(OR(V25=1),NA(),4+(INDEX($B$6:$M$25,($Q$3-1-4)*$Q$4+X25+1,0*$Q$5+W25+1)-$Q$17)/$Q$19*$Q$13)</f>
        <v>#N/A</v>
      </c>
      <c r="AF25">
        <v>16</v>
      </c>
      <c r="AG25">
        <v>5</v>
      </c>
      <c r="AI25">
        <v>54.5</v>
      </c>
      <c r="AJ25">
        <v>0.90999999999999992</v>
      </c>
      <c r="AL25">
        <v>15.5</v>
      </c>
      <c r="AM25">
        <f>IF(OR($Q$17&gt;0,$Q$18&lt;0),NA(),0+$Q$20)</f>
        <v>0</v>
      </c>
      <c r="AO25">
        <v>17</v>
      </c>
      <c r="AP25">
        <f>4+$Q$13+0.03</f>
        <v>4.8500000000000005</v>
      </c>
      <c r="AQ25" t="str">
        <f>Line!$A$7</f>
        <v>Business partner 02</v>
      </c>
      <c r="AS25">
        <v>3.35</v>
      </c>
      <c r="AT25">
        <f>0+0.5*$Q$13</f>
        <v>0.41</v>
      </c>
      <c r="AU25" t="str">
        <f>TEXT($Q$17+($Q$18-$Q$17)*0.5,"#,##0")</f>
        <v>750</v>
      </c>
    </row>
    <row r="26" spans="1:52" x14ac:dyDescent="0.35">
      <c r="P26">
        <v>3</v>
      </c>
      <c r="Q26">
        <f>P26-$Q$12</f>
        <v>0</v>
      </c>
      <c r="R26">
        <f>IF(Q26&lt;=0,-1,INT((Q26-1)/($Q$10+$Q$11)))</f>
        <v>-1</v>
      </c>
      <c r="S26">
        <f>IF(Q26&lt;=0,-1,MOD(Q26-1,($Q$10+$Q$11)))</f>
        <v>-1</v>
      </c>
      <c r="T26">
        <f>IF(OR(S26&lt;0,S26&gt;=$Q$10),-1,INT(S26/$Q$9))</f>
        <v>-1</v>
      </c>
      <c r="U26">
        <f>IF(OR(S26&lt;0,S26&gt;=$Q$10),-1,MOD(S26,$Q$9))</f>
        <v>-1</v>
      </c>
      <c r="V26">
        <f>IF(OR(Q26&lt;=0,S26&lt;0,S26&gt;=$Q$10,R26&gt;=$Q$7),1,0)</f>
        <v>1</v>
      </c>
      <c r="W26">
        <f>IF(V26=1,-1,T26)</f>
        <v>-1</v>
      </c>
      <c r="X26">
        <f>IF(V26=1,-1,R26)</f>
        <v>-1</v>
      </c>
      <c r="Y26" t="str">
        <f>IF(V26=1,"",IF(AND(MOD(W26,3)=0,U26=INT(($Q$9-1)/2)),INDEX($B$5:$M$5,W26+1),""))</f>
        <v/>
      </c>
      <c r="Z26" t="e">
        <f>IF(OR(V26=1),NA(),0+(INDEX($B$6:$M$25,($Q$3-1-0)*$Q$4+X26+1,0*$Q$5+W26+1)-$Q$17)/$Q$19*$Q$13)</f>
        <v>#N/A</v>
      </c>
      <c r="AA26" t="e">
        <f>IF(OR(V26=1),NA(),1+(INDEX($B$6:$M$25,($Q$3-1-1)*$Q$4+X26+1,0*$Q$5+W26+1)-$Q$17)/$Q$19*$Q$13)</f>
        <v>#N/A</v>
      </c>
      <c r="AB26" t="e">
        <f>IF(OR(V26=1),NA(),2+(INDEX($B$6:$M$25,($Q$3-1-2)*$Q$4+X26+1,0*$Q$5+W26+1)-$Q$17)/$Q$19*$Q$13)</f>
        <v>#N/A</v>
      </c>
      <c r="AC26" t="e">
        <f>IF(OR(V26=1),NA(),3+(INDEX($B$6:$M$25,($Q$3-1-3)*$Q$4+X26+1,0*$Q$5+W26+1)-$Q$17)/$Q$19*$Q$13)</f>
        <v>#N/A</v>
      </c>
      <c r="AD26" t="e">
        <f>IF(OR(V26=1),NA(),4+(INDEX($B$6:$M$25,($Q$3-1-4)*$Q$4+X26+1,0*$Q$5+W26+1)-$Q$17)/$Q$19*$Q$13)</f>
        <v>#N/A</v>
      </c>
      <c r="AF26">
        <v>16</v>
      </c>
      <c r="AG26" t="e">
        <f>NA()</f>
        <v>#N/A</v>
      </c>
      <c r="AI26">
        <v>54.5</v>
      </c>
      <c r="AJ26" t="e">
        <f>NA()</f>
        <v>#N/A</v>
      </c>
      <c r="AL26">
        <v>15.5</v>
      </c>
      <c r="AM26" t="e">
        <f>NA()</f>
        <v>#N/A</v>
      </c>
      <c r="AO26">
        <v>30</v>
      </c>
      <c r="AP26">
        <f>4+$Q$13+0.03</f>
        <v>4.8500000000000005</v>
      </c>
      <c r="AQ26" t="str">
        <f>Line!$A$8</f>
        <v>Business partner 03</v>
      </c>
      <c r="AS26">
        <v>3.35</v>
      </c>
      <c r="AT26">
        <f>0+1*$Q$13</f>
        <v>0.82</v>
      </c>
      <c r="AU26" t="str">
        <f>TEXT($Q$17+($Q$18-$Q$17)*1,"#,##0")</f>
        <v>1,500</v>
      </c>
    </row>
    <row r="27" spans="1:52" x14ac:dyDescent="0.35">
      <c r="P27">
        <v>4</v>
      </c>
      <c r="Q27">
        <f>P27-$Q$12</f>
        <v>1</v>
      </c>
      <c r="R27">
        <f>IF(Q27&lt;=0,-1,INT((Q27-1)/($Q$10+$Q$11)))</f>
        <v>0</v>
      </c>
      <c r="S27">
        <f>IF(Q27&lt;=0,-1,MOD(Q27-1,($Q$10+$Q$11)))</f>
        <v>0</v>
      </c>
      <c r="T27">
        <f>IF(OR(S27&lt;0,S27&gt;=$Q$10),-1,INT(S27/$Q$9))</f>
        <v>0</v>
      </c>
      <c r="U27">
        <f>IF(OR(S27&lt;0,S27&gt;=$Q$10),-1,MOD(S27,$Q$9))</f>
        <v>0</v>
      </c>
      <c r="V27">
        <f>IF(OR(Q27&lt;=0,S27&lt;0,S27&gt;=$Q$10,R27&gt;=$Q$7),1,0)</f>
        <v>0</v>
      </c>
      <c r="W27">
        <f>IF(V27=1,-1,T27)</f>
        <v>0</v>
      </c>
      <c r="X27">
        <f>IF(V27=1,-1,R27)</f>
        <v>0</v>
      </c>
      <c r="Y27" t="str">
        <f>IF(V27=1,"",IF(AND(MOD(W27,3)=0,U27=INT(($Q$9-1)/2)),INDEX($B$5:$M$5,W27+1),""))</f>
        <v>Jan</v>
      </c>
      <c r="Z27">
        <f>IF(OR(V27=1),NA(),0+(INDEX($B$6:$M$25,($Q$3-1-0)*$Q$4+X27+1,0*$Q$5+W27+1)-$Q$17)/$Q$19*$Q$13)</f>
        <v>0.48926666666666663</v>
      </c>
      <c r="AA27">
        <f>IF(OR(V27=1),NA(),1+(INDEX($B$6:$M$25,($Q$3-1-1)*$Q$4+X27+1,0*$Q$5+W27+1)-$Q$17)/$Q$19*$Q$13)</f>
        <v>1.2760666666666667</v>
      </c>
      <c r="AB27">
        <f>IF(OR(V27=1),NA(),2+(INDEX($B$6:$M$25,($Q$3-1-2)*$Q$4+X27+1,0*$Q$5+W27+1)-$Q$17)/$Q$19*$Q$13)</f>
        <v>2.492</v>
      </c>
      <c r="AC27">
        <f>IF(OR(V27=1),NA(),3+(INDEX($B$6:$M$25,($Q$3-1-3)*$Q$4+X27+1,0*$Q$5+W27+1)-$Q$17)/$Q$19*$Q$13)</f>
        <v>3.2787999999999999</v>
      </c>
      <c r="AD27">
        <f>IF(OR(V27=1),NA(),4+(INDEX($B$6:$M$25,($Q$3-1-4)*$Q$4+X27+1,0*$Q$5+W27+1)-$Q$17)/$Q$19*$Q$13)</f>
        <v>4.3963333333333336</v>
      </c>
      <c r="AF27">
        <v>29</v>
      </c>
      <c r="AG27">
        <v>0</v>
      </c>
      <c r="AI27">
        <v>0.5</v>
      </c>
      <c r="AJ27">
        <v>1.91</v>
      </c>
      <c r="AL27">
        <v>16.5</v>
      </c>
      <c r="AM27">
        <f>IF(OR($Q$17&gt;0,$Q$18&lt;0),NA(),0+$Q$20)</f>
        <v>0</v>
      </c>
      <c r="AO27">
        <v>43</v>
      </c>
      <c r="AP27">
        <f>4+$Q$13+0.03</f>
        <v>4.8500000000000005</v>
      </c>
      <c r="AQ27" t="str">
        <f>Line!$A$9</f>
        <v>Business partner 04</v>
      </c>
      <c r="AS27">
        <v>3.35</v>
      </c>
      <c r="AT27">
        <f>1+0*$Q$13</f>
        <v>1</v>
      </c>
      <c r="AU27" t="str">
        <f>TEXT($Q$17+($Q$18-$Q$17)*0,"#,##0")</f>
        <v>0</v>
      </c>
    </row>
    <row r="28" spans="1:52" x14ac:dyDescent="0.35">
      <c r="P28">
        <v>5</v>
      </c>
      <c r="Q28">
        <f>P28-$Q$12</f>
        <v>2</v>
      </c>
      <c r="R28">
        <f>IF(Q28&lt;=0,-1,INT((Q28-1)/($Q$10+$Q$11)))</f>
        <v>0</v>
      </c>
      <c r="S28">
        <f>IF(Q28&lt;=0,-1,MOD(Q28-1,($Q$10+$Q$11)))</f>
        <v>1</v>
      </c>
      <c r="T28">
        <f>IF(OR(S28&lt;0,S28&gt;=$Q$10),-1,INT(S28/$Q$9))</f>
        <v>1</v>
      </c>
      <c r="U28">
        <f>IF(OR(S28&lt;0,S28&gt;=$Q$10),-1,MOD(S28,$Q$9))</f>
        <v>0</v>
      </c>
      <c r="V28">
        <f>IF(OR(Q28&lt;=0,S28&lt;0,S28&gt;=$Q$10,R28&gt;=$Q$7),1,0)</f>
        <v>0</v>
      </c>
      <c r="W28">
        <f>IF(V28=1,-1,T28)</f>
        <v>1</v>
      </c>
      <c r="X28">
        <f>IF(V28=1,-1,R28)</f>
        <v>0</v>
      </c>
      <c r="Y28" t="str">
        <f>IF(V28=1,"",IF(AND(MOD(W28,3)=0,U28=INT(($Q$9-1)/2)),INDEX($B$5:$M$5,W28+1),""))</f>
        <v/>
      </c>
      <c r="Z28">
        <f>IF(OR(V28=1),NA(),0+(INDEX($B$6:$M$25,($Q$3-1-0)*$Q$4+X28+1,0*$Q$5+W28+1)-$Q$17)/$Q$19*$Q$13)</f>
        <v>0.5343119999999999</v>
      </c>
      <c r="AA28">
        <f>IF(OR(V28=1),NA(),1+(INDEX($B$6:$M$25,($Q$3-1-1)*$Q$4+X28+1,0*$Q$5+W28+1)-$Q$17)/$Q$19*$Q$13)</f>
        <v>1.3165746666666667</v>
      </c>
      <c r="AB28">
        <f>IF(OR(V28=1),NA(),2+(INDEX($B$6:$M$25,($Q$3-1-2)*$Q$4+X28+1,0*$Q$5+W28+1)-$Q$17)/$Q$19*$Q$13)</f>
        <v>2.4378799999999998</v>
      </c>
      <c r="AC28">
        <f>IF(OR(V28=1),NA(),3+(INDEX($B$6:$M$25,($Q$3-1-3)*$Q$4+X28+1,0*$Q$5+W28+1)-$Q$17)/$Q$19*$Q$13)</f>
        <v>3.3185973333333334</v>
      </c>
      <c r="AD28">
        <f>IF(OR(V28=1),NA(),4+(INDEX($B$6:$M$25,($Q$3-1-4)*$Q$4+X28+1,0*$Q$5+W28+1)-$Q$17)/$Q$19*$Q$13)</f>
        <v>4.4398479999999996</v>
      </c>
      <c r="AF28">
        <v>29</v>
      </c>
      <c r="AG28">
        <v>5</v>
      </c>
      <c r="AI28">
        <v>54.5</v>
      </c>
      <c r="AJ28">
        <v>1.91</v>
      </c>
      <c r="AL28">
        <v>28.5</v>
      </c>
      <c r="AM28">
        <f>IF(OR($Q$17&gt;0,$Q$18&lt;0),NA(),0+$Q$20)</f>
        <v>0</v>
      </c>
      <c r="AO28">
        <v>4</v>
      </c>
      <c r="AP28">
        <f>3+$Q$13+0.03</f>
        <v>3.8499999999999996</v>
      </c>
      <c r="AQ28" t="str">
        <f>Line!$A$10</f>
        <v>Business partner 05</v>
      </c>
      <c r="AS28">
        <v>3.35</v>
      </c>
      <c r="AT28">
        <f>1+0.5*$Q$13</f>
        <v>1.41</v>
      </c>
      <c r="AU28" t="str">
        <f>TEXT($Q$17+($Q$18-$Q$17)*0.5,"#,##0")</f>
        <v>750</v>
      </c>
    </row>
    <row r="29" spans="1:52" x14ac:dyDescent="0.35">
      <c r="P29">
        <v>6</v>
      </c>
      <c r="Q29">
        <f>P29-$Q$12</f>
        <v>3</v>
      </c>
      <c r="R29">
        <f>IF(Q29&lt;=0,-1,INT((Q29-1)/($Q$10+$Q$11)))</f>
        <v>0</v>
      </c>
      <c r="S29">
        <f>IF(Q29&lt;=0,-1,MOD(Q29-1,($Q$10+$Q$11)))</f>
        <v>2</v>
      </c>
      <c r="T29">
        <f>IF(OR(S29&lt;0,S29&gt;=$Q$10),-1,INT(S29/$Q$9))</f>
        <v>2</v>
      </c>
      <c r="U29">
        <f>IF(OR(S29&lt;0,S29&gt;=$Q$10),-1,MOD(S29,$Q$9))</f>
        <v>0</v>
      </c>
      <c r="V29">
        <f>IF(OR(Q29&lt;=0,S29&lt;0,S29&gt;=$Q$10,R29&gt;=$Q$7),1,0)</f>
        <v>0</v>
      </c>
      <c r="W29">
        <f>IF(V29=1,-1,T29)</f>
        <v>2</v>
      </c>
      <c r="X29">
        <f>IF(V29=1,-1,R29)</f>
        <v>0</v>
      </c>
      <c r="Y29" t="str">
        <f>IF(V29=1,"",IF(AND(MOD(W29,3)=0,U29=INT(($Q$9-1)/2)),INDEX($B$5:$M$5,W29+1),""))</f>
        <v/>
      </c>
      <c r="Z29">
        <f>IF(OR(V29=1),NA(),0+(INDEX($B$6:$M$25,($Q$3-1-0)*$Q$4+X29+1,0*$Q$5+W29+1)-$Q$17)/$Q$19*$Q$13)</f>
        <v>0.48095733333333329</v>
      </c>
      <c r="AA29">
        <f>IF(OR(V29=1),NA(),1+(INDEX($B$6:$M$25,($Q$3-1-1)*$Q$4+X29+1,0*$Q$5+W29+1)-$Q$17)/$Q$19*$Q$13)</f>
        <v>1.3570826666666667</v>
      </c>
      <c r="AB29">
        <f>IF(OR(V29=1),NA(),2+(INDEX($B$6:$M$25,($Q$3-1-2)*$Q$4+X29+1,0*$Q$5+W29+1)-$Q$17)/$Q$19*$Q$13)</f>
        <v>2.4821599999999999</v>
      </c>
      <c r="AC29">
        <f>IF(OR(V29=1),NA(),3+(INDEX($B$6:$M$25,($Q$3-1-3)*$Q$4+X29+1,0*$Q$5+W29+1)-$Q$17)/$Q$19*$Q$13)</f>
        <v>3.2599399999999998</v>
      </c>
      <c r="AD29">
        <f>IF(OR(V29=1),NA(),4+(INDEX($B$6:$M$25,($Q$3-1-4)*$Q$4+X29+1,0*$Q$5+W29+1)-$Q$17)/$Q$19*$Q$13)</f>
        <v>4.4833626666666664</v>
      </c>
      <c r="AF29">
        <v>29</v>
      </c>
      <c r="AG29" t="e">
        <f>NA()</f>
        <v>#N/A</v>
      </c>
      <c r="AI29">
        <v>54.5</v>
      </c>
      <c r="AJ29" t="e">
        <f>NA()</f>
        <v>#N/A</v>
      </c>
      <c r="AL29">
        <v>28.5</v>
      </c>
      <c r="AM29" t="e">
        <f>NA()</f>
        <v>#N/A</v>
      </c>
      <c r="AO29">
        <v>17</v>
      </c>
      <c r="AP29">
        <f>3+$Q$13+0.03</f>
        <v>3.8499999999999996</v>
      </c>
      <c r="AQ29" t="str">
        <f>Line!$A$11</f>
        <v>Business partner 06</v>
      </c>
      <c r="AS29">
        <v>3.35</v>
      </c>
      <c r="AT29">
        <f>1+1*$Q$13</f>
        <v>1.8199999999999998</v>
      </c>
      <c r="AU29" t="str">
        <f>TEXT($Q$17+($Q$18-$Q$17)*1,"#,##0")</f>
        <v>1,500</v>
      </c>
    </row>
    <row r="30" spans="1:52" x14ac:dyDescent="0.35">
      <c r="P30">
        <v>7</v>
      </c>
      <c r="Q30">
        <f>P30-$Q$12</f>
        <v>4</v>
      </c>
      <c r="R30">
        <f>IF(Q30&lt;=0,-1,INT((Q30-1)/($Q$10+$Q$11)))</f>
        <v>0</v>
      </c>
      <c r="S30">
        <f>IF(Q30&lt;=0,-1,MOD(Q30-1,($Q$10+$Q$11)))</f>
        <v>3</v>
      </c>
      <c r="T30">
        <f>IF(OR(S30&lt;0,S30&gt;=$Q$10),-1,INT(S30/$Q$9))</f>
        <v>3</v>
      </c>
      <c r="U30">
        <f>IF(OR(S30&lt;0,S30&gt;=$Q$10),-1,MOD(S30,$Q$9))</f>
        <v>0</v>
      </c>
      <c r="V30">
        <f>IF(OR(Q30&lt;=0,S30&lt;0,S30&gt;=$Q$10,R30&gt;=$Q$7),1,0)</f>
        <v>0</v>
      </c>
      <c r="W30">
        <f>IF(V30=1,-1,T30)</f>
        <v>3</v>
      </c>
      <c r="X30">
        <f>IF(V30=1,-1,R30)</f>
        <v>0</v>
      </c>
      <c r="Y30" t="str">
        <f>IF(V30=1,"",IF(AND(MOD(W30,3)=0,U30=INT(($Q$9-1)/2)),INDEX($B$5:$M$5,W30+1),""))</f>
        <v>Apr</v>
      </c>
      <c r="Z30">
        <f>IF(OR(V30=1),NA(),0+(INDEX($B$6:$M$25,($Q$3-1-0)*$Q$4+X30+1,0*$Q$5+W30+1)-$Q$17)/$Q$19*$Q$13)</f>
        <v>0.52594799999999997</v>
      </c>
      <c r="AA30">
        <f>IF(OR(V30=1),NA(),1+(INDEX($B$6:$M$25,($Q$3-1-1)*$Q$4+X30+1,0*$Q$5+W30+1)-$Q$17)/$Q$19*$Q$13)</f>
        <v>1.2992453333333334</v>
      </c>
      <c r="AB30">
        <f>IF(OR(V30=1),NA(),2+(INDEX($B$6:$M$25,($Q$3-1-2)*$Q$4+X30+1,0*$Q$5+W30+1)-$Q$17)/$Q$19*$Q$13)</f>
        <v>2.52644</v>
      </c>
      <c r="AC30">
        <f>IF(OR(V30=1),NA(),3+(INDEX($B$6:$M$25,($Q$3-1-3)*$Q$4+X30+1,0*$Q$5+W30+1)-$Q$17)/$Q$19*$Q$13)</f>
        <v>3.2996826666666665</v>
      </c>
      <c r="AD30">
        <f>IF(OR(V30=1),NA(),4+(INDEX($B$6:$M$25,($Q$3-1-4)*$Q$4+X30+1,0*$Q$5+W30+1)-$Q$17)/$Q$19*$Q$13)</f>
        <v>4.4285319999999997</v>
      </c>
      <c r="AF30">
        <v>42</v>
      </c>
      <c r="AG30">
        <v>0</v>
      </c>
      <c r="AI30">
        <v>0.5</v>
      </c>
      <c r="AJ30">
        <v>2.91</v>
      </c>
      <c r="AL30">
        <v>29.5</v>
      </c>
      <c r="AM30">
        <f>IF(OR($Q$17&gt;0,$Q$18&lt;0),NA(),0+$Q$20)</f>
        <v>0</v>
      </c>
      <c r="AO30">
        <v>30</v>
      </c>
      <c r="AP30">
        <f>3+$Q$13+0.03</f>
        <v>3.8499999999999996</v>
      </c>
      <c r="AQ30" t="str">
        <f>Line!$A$12</f>
        <v>Business partner 07</v>
      </c>
      <c r="AS30">
        <v>3.35</v>
      </c>
      <c r="AT30">
        <f>2+0*$Q$13</f>
        <v>2</v>
      </c>
      <c r="AU30" t="str">
        <f>TEXT($Q$17+($Q$18-$Q$17)*0,"#,##0")</f>
        <v>0</v>
      </c>
    </row>
    <row r="31" spans="1:52" x14ac:dyDescent="0.35">
      <c r="P31">
        <v>8</v>
      </c>
      <c r="Q31">
        <f>P31-$Q$12</f>
        <v>5</v>
      </c>
      <c r="R31">
        <f>IF(Q31&lt;=0,-1,INT((Q31-1)/($Q$10+$Q$11)))</f>
        <v>0</v>
      </c>
      <c r="S31">
        <f>IF(Q31&lt;=0,-1,MOD(Q31-1,($Q$10+$Q$11)))</f>
        <v>4</v>
      </c>
      <c r="T31">
        <f>IF(OR(S31&lt;0,S31&gt;=$Q$10),-1,INT(S31/$Q$9))</f>
        <v>4</v>
      </c>
      <c r="U31">
        <f>IF(OR(S31&lt;0,S31&gt;=$Q$10),-1,MOD(S31,$Q$9))</f>
        <v>0</v>
      </c>
      <c r="V31">
        <f>IF(OR(Q31&lt;=0,S31&lt;0,S31&gt;=$Q$10,R31&gt;=$Q$7),1,0)</f>
        <v>0</v>
      </c>
      <c r="W31">
        <f>IF(V31=1,-1,T31)</f>
        <v>4</v>
      </c>
      <c r="X31">
        <f>IF(V31=1,-1,R31)</f>
        <v>0</v>
      </c>
      <c r="Y31" t="str">
        <f>IF(V31=1,"",IF(AND(MOD(W31,3)=0,U31=INT(($Q$9-1)/2)),INDEX($B$5:$M$5,W31+1),""))</f>
        <v/>
      </c>
      <c r="Z31">
        <f>IF(OR(V31=1),NA(),0+(INDEX($B$6:$M$25,($Q$3-1-0)*$Q$4+X31+1,0*$Q$5+W31+1)-$Q$17)/$Q$19*$Q$13)</f>
        <v>0.57099333333333335</v>
      </c>
      <c r="AA31">
        <f>IF(OR(V31=1),NA(),1+(INDEX($B$6:$M$25,($Q$3-1-1)*$Q$4+X31+1,0*$Q$5+W31+1)-$Q$17)/$Q$19*$Q$13)</f>
        <v>1.3397533333333334</v>
      </c>
      <c r="AB31">
        <f>IF(OR(V31=1),NA(),2+(INDEX($B$6:$M$25,($Q$3-1-2)*$Q$4+X31+1,0*$Q$5+W31+1)-$Q$17)/$Q$19*$Q$13)</f>
        <v>2.4723199999999999</v>
      </c>
      <c r="AC31">
        <f>IF(OR(V31=1),NA(),3+(INDEX($B$6:$M$25,($Q$3-1-3)*$Q$4+X31+1,0*$Q$5+W31+1)-$Q$17)/$Q$19*$Q$13)</f>
        <v>3.33948</v>
      </c>
      <c r="AD31">
        <f>IF(OR(V31=1),NA(),4+(INDEX($B$6:$M$25,($Q$3-1-4)*$Q$4+X31+1,0*$Q$5+W31+1)-$Q$17)/$Q$19*$Q$13)</f>
        <v>4.4720466666666665</v>
      </c>
      <c r="AF31">
        <v>42</v>
      </c>
      <c r="AG31">
        <v>5</v>
      </c>
      <c r="AI31">
        <v>54.5</v>
      </c>
      <c r="AJ31">
        <v>2.91</v>
      </c>
      <c r="AL31">
        <v>41.5</v>
      </c>
      <c r="AM31">
        <f>IF(OR($Q$17&gt;0,$Q$18&lt;0),NA(),0+$Q$20)</f>
        <v>0</v>
      </c>
      <c r="AO31">
        <v>43</v>
      </c>
      <c r="AP31">
        <f>3+$Q$13+0.03</f>
        <v>3.8499999999999996</v>
      </c>
      <c r="AQ31" t="str">
        <f>Line!$A$13</f>
        <v>Business partner 08</v>
      </c>
      <c r="AS31">
        <v>3.35</v>
      </c>
      <c r="AT31">
        <f>2+0.5*$Q$13</f>
        <v>2.41</v>
      </c>
      <c r="AU31" t="str">
        <f>TEXT($Q$17+($Q$18-$Q$17)*0.5,"#,##0")</f>
        <v>750</v>
      </c>
    </row>
    <row r="32" spans="1:52" x14ac:dyDescent="0.35">
      <c r="P32">
        <v>9</v>
      </c>
      <c r="Q32">
        <f>P32-$Q$12</f>
        <v>6</v>
      </c>
      <c r="R32">
        <f>IF(Q32&lt;=0,-1,INT((Q32-1)/($Q$10+$Q$11)))</f>
        <v>0</v>
      </c>
      <c r="S32">
        <f>IF(Q32&lt;=0,-1,MOD(Q32-1,($Q$10+$Q$11)))</f>
        <v>5</v>
      </c>
      <c r="T32">
        <f>IF(OR(S32&lt;0,S32&gt;=$Q$10),-1,INT(S32/$Q$9))</f>
        <v>5</v>
      </c>
      <c r="U32">
        <f>IF(OR(S32&lt;0,S32&gt;=$Q$10),-1,MOD(S32,$Q$9))</f>
        <v>0</v>
      </c>
      <c r="V32">
        <f>IF(OR(Q32&lt;=0,S32&lt;0,S32&gt;=$Q$10,R32&gt;=$Q$7),1,0)</f>
        <v>0</v>
      </c>
      <c r="W32">
        <f>IF(V32=1,-1,T32)</f>
        <v>5</v>
      </c>
      <c r="X32">
        <f>IF(V32=1,-1,R32)</f>
        <v>0</v>
      </c>
      <c r="Y32" t="str">
        <f>IF(V32=1,"",IF(AND(MOD(W32,3)=0,U32=INT(($Q$9-1)/2)),INDEX($B$5:$M$5,W32+1),""))</f>
        <v/>
      </c>
      <c r="Z32">
        <f>IF(OR(V32=1),NA(),0+(INDEX($B$6:$M$25,($Q$3-1-0)*$Q$4+X32+1,0*$Q$5+W32+1)-$Q$17)/$Q$19*$Q$13)</f>
        <v>0.51763866666666658</v>
      </c>
      <c r="AA32">
        <f>IF(OR(V32=1),NA(),1+(INDEX($B$6:$M$25,($Q$3-1-1)*$Q$4+X32+1,0*$Q$5+W32+1)-$Q$17)/$Q$19*$Q$13)</f>
        <v>1.3802613333333333</v>
      </c>
      <c r="AB32">
        <f>IF(OR(V32=1),NA(),2+(INDEX($B$6:$M$25,($Q$3-1-2)*$Q$4+X32+1,0*$Q$5+W32+1)-$Q$17)/$Q$19*$Q$13)</f>
        <v>2.5165999999999999</v>
      </c>
      <c r="AC32">
        <f>IF(OR(V32=1),NA(),3+(INDEX($B$6:$M$25,($Q$3-1-3)*$Q$4+X32+1,0*$Q$5+W32+1)-$Q$17)/$Q$19*$Q$13)</f>
        <v>3.2808773333333332</v>
      </c>
      <c r="AD32">
        <f>IF(OR(V32=1),NA(),4+(INDEX($B$6:$M$25,($Q$3-1-4)*$Q$4+X32+1,0*$Q$5+W32+1)-$Q$17)/$Q$19*$Q$13)</f>
        <v>4.5155613333333333</v>
      </c>
      <c r="AF32">
        <v>42</v>
      </c>
      <c r="AG32" t="e">
        <f>NA()</f>
        <v>#N/A</v>
      </c>
      <c r="AI32">
        <v>54.5</v>
      </c>
      <c r="AJ32" t="e">
        <f>NA()</f>
        <v>#N/A</v>
      </c>
      <c r="AL32">
        <v>41.5</v>
      </c>
      <c r="AM32" t="e">
        <f>NA()</f>
        <v>#N/A</v>
      </c>
      <c r="AO32">
        <v>4</v>
      </c>
      <c r="AP32">
        <f>2+$Q$13+0.03</f>
        <v>2.8499999999999996</v>
      </c>
      <c r="AQ32" t="str">
        <f>Line!$A$14</f>
        <v>Business partner 09</v>
      </c>
      <c r="AS32">
        <v>3.35</v>
      </c>
      <c r="AT32">
        <f>2+1*$Q$13</f>
        <v>2.82</v>
      </c>
      <c r="AU32" t="str">
        <f>TEXT($Q$17+($Q$18-$Q$17)*1,"#,##0")</f>
        <v>1,500</v>
      </c>
    </row>
    <row r="33" spans="16:47" x14ac:dyDescent="0.35">
      <c r="P33">
        <v>10</v>
      </c>
      <c r="Q33">
        <f>P33-$Q$12</f>
        <v>7</v>
      </c>
      <c r="R33">
        <f>IF(Q33&lt;=0,-1,INT((Q33-1)/($Q$10+$Q$11)))</f>
        <v>0</v>
      </c>
      <c r="S33">
        <f>IF(Q33&lt;=0,-1,MOD(Q33-1,($Q$10+$Q$11)))</f>
        <v>6</v>
      </c>
      <c r="T33">
        <f>IF(OR(S33&lt;0,S33&gt;=$Q$10),-1,INT(S33/$Q$9))</f>
        <v>6</v>
      </c>
      <c r="U33">
        <f>IF(OR(S33&lt;0,S33&gt;=$Q$10),-1,MOD(S33,$Q$9))</f>
        <v>0</v>
      </c>
      <c r="V33">
        <f>IF(OR(Q33&lt;=0,S33&lt;0,S33&gt;=$Q$10,R33&gt;=$Q$7),1,0)</f>
        <v>0</v>
      </c>
      <c r="W33">
        <f>IF(V33=1,-1,T33)</f>
        <v>6</v>
      </c>
      <c r="X33">
        <f>IF(V33=1,-1,R33)</f>
        <v>0</v>
      </c>
      <c r="Y33" t="str">
        <f>IF(V33=1,"",IF(AND(MOD(W33,3)=0,U33=INT(($Q$9-1)/2)),INDEX($B$5:$M$5,W33+1),""))</f>
        <v>Jul</v>
      </c>
      <c r="Z33">
        <f>IF(OR(V33=1),NA(),0+(INDEX($B$6:$M$25,($Q$3-1-0)*$Q$4+X33+1,0*$Q$5+W33+1)-$Q$17)/$Q$19*$Q$13)</f>
        <v>0.56262933333333331</v>
      </c>
      <c r="AA33">
        <f>IF(OR(V33=1),NA(),1+(INDEX($B$6:$M$25,($Q$3-1-1)*$Q$4+X33+1,0*$Q$5+W33+1)-$Q$17)/$Q$19*$Q$13)</f>
        <v>1.322424</v>
      </c>
      <c r="AB33">
        <f>IF(OR(V33=1),NA(),2+(INDEX($B$6:$M$25,($Q$3-1-2)*$Q$4+X33+1,0*$Q$5+W33+1)-$Q$17)/$Q$19*$Q$13)</f>
        <v>2.56088</v>
      </c>
      <c r="AC33">
        <f>IF(OR(V33=1),NA(),3+(INDEX($B$6:$M$25,($Q$3-1-3)*$Q$4+X33+1,0*$Q$5+W33+1)-$Q$17)/$Q$19*$Q$13)</f>
        <v>3.3206199999999999</v>
      </c>
      <c r="AD33">
        <f>IF(OR(V33=1),NA(),4+(INDEX($B$6:$M$25,($Q$3-1-4)*$Q$4+X33+1,0*$Q$5+W33+1)-$Q$17)/$Q$19*$Q$13)</f>
        <v>4.4606760000000003</v>
      </c>
      <c r="AI33">
        <v>0.5</v>
      </c>
      <c r="AJ33">
        <v>3.91</v>
      </c>
      <c r="AL33">
        <v>42.5</v>
      </c>
      <c r="AM33">
        <f>IF(OR($Q$17&gt;0,$Q$18&lt;0),NA(),0+$Q$20)</f>
        <v>0</v>
      </c>
      <c r="AO33">
        <v>17</v>
      </c>
      <c r="AP33">
        <f>2+$Q$13+0.03</f>
        <v>2.8499999999999996</v>
      </c>
      <c r="AQ33" t="str">
        <f>Line!$A$15</f>
        <v>Business partner 10</v>
      </c>
      <c r="AS33">
        <v>3.35</v>
      </c>
      <c r="AT33">
        <f>3+0*$Q$13</f>
        <v>3</v>
      </c>
      <c r="AU33" t="str">
        <f>TEXT($Q$17+($Q$18-$Q$17)*0,"#,##0")</f>
        <v>0</v>
      </c>
    </row>
    <row r="34" spans="16:47" x14ac:dyDescent="0.35">
      <c r="P34">
        <v>11</v>
      </c>
      <c r="Q34">
        <f>P34-$Q$12</f>
        <v>8</v>
      </c>
      <c r="R34">
        <f>IF(Q34&lt;=0,-1,INT((Q34-1)/($Q$10+$Q$11)))</f>
        <v>0</v>
      </c>
      <c r="S34">
        <f>IF(Q34&lt;=0,-1,MOD(Q34-1,($Q$10+$Q$11)))</f>
        <v>7</v>
      </c>
      <c r="T34">
        <f>IF(OR(S34&lt;0,S34&gt;=$Q$10),-1,INT(S34/$Q$9))</f>
        <v>7</v>
      </c>
      <c r="U34">
        <f>IF(OR(S34&lt;0,S34&gt;=$Q$10),-1,MOD(S34,$Q$9))</f>
        <v>0</v>
      </c>
      <c r="V34">
        <f>IF(OR(Q34&lt;=0,S34&lt;0,S34&gt;=$Q$10,R34&gt;=$Q$7),1,0)</f>
        <v>0</v>
      </c>
      <c r="W34">
        <f>IF(V34=1,-1,T34)</f>
        <v>7</v>
      </c>
      <c r="X34">
        <f>IF(V34=1,-1,R34)</f>
        <v>0</v>
      </c>
      <c r="Y34" t="str">
        <f>IF(V34=1,"",IF(AND(MOD(W34,3)=0,U34=INT(($Q$9-1)/2)),INDEX($B$5:$M$5,W34+1),""))</f>
        <v/>
      </c>
      <c r="Z34">
        <f>IF(OR(V34=1),NA(),0+(INDEX($B$6:$M$25,($Q$3-1-0)*$Q$4+X34+1,0*$Q$5+W34+1)-$Q$17)/$Q$19*$Q$13)</f>
        <v>0.60767466666666659</v>
      </c>
      <c r="AA34">
        <f>IF(OR(V34=1),NA(),1+(INDEX($B$6:$M$25,($Q$3-1-1)*$Q$4+X34+1,0*$Q$5+W34+1)-$Q$17)/$Q$19*$Q$13)</f>
        <v>1.362932</v>
      </c>
      <c r="AB34">
        <f>IF(OR(V34=1),NA(),2+(INDEX($B$6:$M$25,($Q$3-1-2)*$Q$4+X34+1,0*$Q$5+W34+1)-$Q$17)/$Q$19*$Q$13)</f>
        <v>2.5067599999999999</v>
      </c>
      <c r="AC34">
        <f>IF(OR(V34=1),NA(),3+(INDEX($B$6:$M$25,($Q$3-1-3)*$Q$4+X34+1,0*$Q$5+W34+1)-$Q$17)/$Q$19*$Q$13)</f>
        <v>3.3603626666666666</v>
      </c>
      <c r="AD34">
        <f>IF(OR(V34=1),NA(),4+(INDEX($B$6:$M$25,($Q$3-1-4)*$Q$4+X34+1,0*$Q$5+W34+1)-$Q$17)/$Q$19*$Q$13)</f>
        <v>4.5042453333333334</v>
      </c>
      <c r="AI34">
        <v>54.5</v>
      </c>
      <c r="AJ34">
        <v>3.91</v>
      </c>
      <c r="AL34">
        <v>54.5</v>
      </c>
      <c r="AM34">
        <f>IF(OR($Q$17&gt;0,$Q$18&lt;0),NA(),0+$Q$20)</f>
        <v>0</v>
      </c>
      <c r="AO34">
        <v>30</v>
      </c>
      <c r="AP34">
        <f>2+$Q$13+0.03</f>
        <v>2.8499999999999996</v>
      </c>
      <c r="AQ34" t="str">
        <f>Line!$A$16</f>
        <v>Business partner 11</v>
      </c>
      <c r="AS34">
        <v>3.35</v>
      </c>
      <c r="AT34">
        <f>3+0.5*$Q$13</f>
        <v>3.41</v>
      </c>
      <c r="AU34" t="str">
        <f>TEXT($Q$17+($Q$18-$Q$17)*0.5,"#,##0")</f>
        <v>750</v>
      </c>
    </row>
    <row r="35" spans="16:47" x14ac:dyDescent="0.35">
      <c r="P35">
        <v>12</v>
      </c>
      <c r="Q35">
        <f>P35-$Q$12</f>
        <v>9</v>
      </c>
      <c r="R35">
        <f>IF(Q35&lt;=0,-1,INT((Q35-1)/($Q$10+$Q$11)))</f>
        <v>0</v>
      </c>
      <c r="S35">
        <f>IF(Q35&lt;=0,-1,MOD(Q35-1,($Q$10+$Q$11)))</f>
        <v>8</v>
      </c>
      <c r="T35">
        <f>IF(OR(S35&lt;0,S35&gt;=$Q$10),-1,INT(S35/$Q$9))</f>
        <v>8</v>
      </c>
      <c r="U35">
        <f>IF(OR(S35&lt;0,S35&gt;=$Q$10),-1,MOD(S35,$Q$9))</f>
        <v>0</v>
      </c>
      <c r="V35">
        <f>IF(OR(Q35&lt;=0,S35&lt;0,S35&gt;=$Q$10,R35&gt;=$Q$7),1,0)</f>
        <v>0</v>
      </c>
      <c r="W35">
        <f>IF(V35=1,-1,T35)</f>
        <v>8</v>
      </c>
      <c r="X35">
        <f>IF(V35=1,-1,R35)</f>
        <v>0</v>
      </c>
      <c r="Y35" t="str">
        <f>IF(V35=1,"",IF(AND(MOD(W35,3)=0,U35=INT(($Q$9-1)/2)),INDEX($B$5:$M$5,W35+1),""))</f>
        <v/>
      </c>
      <c r="Z35">
        <f>IF(OR(V35=1),NA(),0+(INDEX($B$6:$M$25,($Q$3-1-0)*$Q$4+X35+1,0*$Q$5+W35+1)-$Q$17)/$Q$19*$Q$13)</f>
        <v>0.55432000000000003</v>
      </c>
      <c r="AA35">
        <f>IF(OR(V35=1),NA(),1+(INDEX($B$6:$M$25,($Q$3-1-1)*$Q$4+X35+1,0*$Q$5+W35+1)-$Q$17)/$Q$19*$Q$13)</f>
        <v>1.40344</v>
      </c>
      <c r="AB35">
        <f>IF(OR(V35=1),NA(),2+(INDEX($B$6:$M$25,($Q$3-1-2)*$Q$4+X35+1,0*$Q$5+W35+1)-$Q$17)/$Q$19*$Q$13)</f>
        <v>2.55104</v>
      </c>
      <c r="AC35">
        <f>IF(OR(V35=1),NA(),3+(INDEX($B$6:$M$25,($Q$3-1-3)*$Q$4+X35+1,0*$Q$5+W35+1)-$Q$17)/$Q$19*$Q$13)</f>
        <v>3.3017599999999998</v>
      </c>
      <c r="AD35">
        <f>IF(OR(V35=1),NA(),4+(INDEX($B$6:$M$25,($Q$3-1-4)*$Q$4+X35+1,0*$Q$5+W35+1)-$Q$17)/$Q$19*$Q$13)</f>
        <v>4.5477600000000002</v>
      </c>
      <c r="AI35">
        <v>54.5</v>
      </c>
      <c r="AJ35" t="e">
        <f>NA()</f>
        <v>#N/A</v>
      </c>
      <c r="AL35">
        <v>54.5</v>
      </c>
      <c r="AM35" t="e">
        <f>NA()</f>
        <v>#N/A</v>
      </c>
      <c r="AO35">
        <v>43</v>
      </c>
      <c r="AP35">
        <f>2+$Q$13+0.03</f>
        <v>2.8499999999999996</v>
      </c>
      <c r="AQ35" t="str">
        <f>Line!$A$17</f>
        <v>Business partner 12</v>
      </c>
      <c r="AS35">
        <v>3.35</v>
      </c>
      <c r="AT35">
        <f>3+1*$Q$13</f>
        <v>3.82</v>
      </c>
      <c r="AU35" t="str">
        <f>TEXT($Q$17+($Q$18-$Q$17)*1,"#,##0")</f>
        <v>1,500</v>
      </c>
    </row>
    <row r="36" spans="16:47" x14ac:dyDescent="0.35">
      <c r="P36">
        <v>13</v>
      </c>
      <c r="Q36">
        <f>P36-$Q$12</f>
        <v>10</v>
      </c>
      <c r="R36">
        <f>IF(Q36&lt;=0,-1,INT((Q36-1)/($Q$10+$Q$11)))</f>
        <v>0</v>
      </c>
      <c r="S36">
        <f>IF(Q36&lt;=0,-1,MOD(Q36-1,($Q$10+$Q$11)))</f>
        <v>9</v>
      </c>
      <c r="T36">
        <f>IF(OR(S36&lt;0,S36&gt;=$Q$10),-1,INT(S36/$Q$9))</f>
        <v>9</v>
      </c>
      <c r="U36">
        <f>IF(OR(S36&lt;0,S36&gt;=$Q$10),-1,MOD(S36,$Q$9))</f>
        <v>0</v>
      </c>
      <c r="V36">
        <f>IF(OR(Q36&lt;=0,S36&lt;0,S36&gt;=$Q$10,R36&gt;=$Q$7),1,0)</f>
        <v>0</v>
      </c>
      <c r="W36">
        <f>IF(V36=1,-1,T36)</f>
        <v>9</v>
      </c>
      <c r="X36">
        <f>IF(V36=1,-1,R36)</f>
        <v>0</v>
      </c>
      <c r="Y36" t="str">
        <f>IF(V36=1,"",IF(AND(MOD(W36,3)=0,U36=INT(($Q$9-1)/2)),INDEX($B$5:$M$5,W36+1),""))</f>
        <v>Oct</v>
      </c>
      <c r="Z36">
        <f>IF(OR(V36=1),NA(),0+(INDEX($B$6:$M$25,($Q$3-1-0)*$Q$4+X36+1,0*$Q$5+W36+1)-$Q$17)/$Q$19*$Q$13)</f>
        <v>0.59936533333333342</v>
      </c>
      <c r="AA36">
        <f>IF(OR(V36=1),NA(),1+(INDEX($B$6:$M$25,($Q$3-1-1)*$Q$4+X36+1,0*$Q$5+W36+1)-$Q$17)/$Q$19*$Q$13)</f>
        <v>1.345548</v>
      </c>
      <c r="AB36">
        <f>IF(OR(V36=1),NA(),2+(INDEX($B$6:$M$25,($Q$3-1-2)*$Q$4+X36+1,0*$Q$5+W36+1)-$Q$17)/$Q$19*$Q$13)</f>
        <v>2.5953200000000001</v>
      </c>
      <c r="AC36">
        <f>IF(OR(V36=1),NA(),3+(INDEX($B$6:$M$25,($Q$3-1-3)*$Q$4+X36+1,0*$Q$5+W36+1)-$Q$17)/$Q$19*$Q$13)</f>
        <v>3.3415573333333333</v>
      </c>
      <c r="AD36">
        <f>IF(OR(V36=1),NA(),4+(INDEX($B$6:$M$25,($Q$3-1-4)*$Q$4+X36+1,0*$Q$5+W36+1)-$Q$17)/$Q$19*$Q$13)</f>
        <v>4.4928746666666664</v>
      </c>
      <c r="AL36">
        <v>3.5</v>
      </c>
      <c r="AM36">
        <f>IF(OR($Q$17&gt;0,$Q$18&lt;0),NA(),1+$Q$20)</f>
        <v>1</v>
      </c>
      <c r="AO36">
        <v>4</v>
      </c>
      <c r="AP36">
        <f>1+$Q$13+0.03</f>
        <v>1.8499999999999999</v>
      </c>
      <c r="AQ36" t="str">
        <f>Line!$A$18</f>
        <v>Business partner 13</v>
      </c>
      <c r="AS36">
        <v>3.35</v>
      </c>
      <c r="AT36">
        <f>4+0*$Q$13</f>
        <v>4</v>
      </c>
      <c r="AU36" t="str">
        <f>TEXT($Q$17+($Q$18-$Q$17)*0,"#,##0")</f>
        <v>0</v>
      </c>
    </row>
    <row r="37" spans="16:47" x14ac:dyDescent="0.35">
      <c r="P37">
        <v>14</v>
      </c>
      <c r="Q37">
        <f>P37-$Q$12</f>
        <v>11</v>
      </c>
      <c r="R37">
        <f>IF(Q37&lt;=0,-1,INT((Q37-1)/($Q$10+$Q$11)))</f>
        <v>0</v>
      </c>
      <c r="S37">
        <f>IF(Q37&lt;=0,-1,MOD(Q37-1,($Q$10+$Q$11)))</f>
        <v>10</v>
      </c>
      <c r="T37">
        <f>IF(OR(S37&lt;0,S37&gt;=$Q$10),-1,INT(S37/$Q$9))</f>
        <v>10</v>
      </c>
      <c r="U37">
        <f>IF(OR(S37&lt;0,S37&gt;=$Q$10),-1,MOD(S37,$Q$9))</f>
        <v>0</v>
      </c>
      <c r="V37">
        <f>IF(OR(Q37&lt;=0,S37&lt;0,S37&gt;=$Q$10,R37&gt;=$Q$7),1,0)</f>
        <v>0</v>
      </c>
      <c r="W37">
        <f>IF(V37=1,-1,T37)</f>
        <v>10</v>
      </c>
      <c r="X37">
        <f>IF(V37=1,-1,R37)</f>
        <v>0</v>
      </c>
      <c r="Y37" t="str">
        <f>IF(V37=1,"",IF(AND(MOD(W37,3)=0,U37=INT(($Q$9-1)/2)),INDEX($B$5:$M$5,W37+1),""))</f>
        <v/>
      </c>
      <c r="Z37">
        <f>IF(OR(V37=1),NA(),0+(INDEX($B$6:$M$25,($Q$3-1-0)*$Q$4+X37+1,0*$Q$5+W37+1)-$Q$17)/$Q$19*$Q$13)</f>
        <v>0.64441066666666658</v>
      </c>
      <c r="AA37">
        <f>IF(OR(V37=1),NA(),1+(INDEX($B$6:$M$25,($Q$3-1-1)*$Q$4+X37+1,0*$Q$5+W37+1)-$Q$17)/$Q$19*$Q$13)</f>
        <v>1.386056</v>
      </c>
      <c r="AB37">
        <f>IF(OR(V37=1),NA(),2+(INDEX($B$6:$M$25,($Q$3-1-2)*$Q$4+X37+1,0*$Q$5+W37+1)-$Q$17)/$Q$19*$Q$13)</f>
        <v>2.5411999999999999</v>
      </c>
      <c r="AC37">
        <f>IF(OR(V37=1),NA(),3+(INDEX($B$6:$M$25,($Q$3-1-3)*$Q$4+X37+1,0*$Q$5+W37+1)-$Q$17)/$Q$19*$Q$13)</f>
        <v>3.3813</v>
      </c>
      <c r="AD37">
        <f>IF(OR(V37=1),NA(),4+(INDEX($B$6:$M$25,($Q$3-1-4)*$Q$4+X37+1,0*$Q$5+W37+1)-$Q$17)/$Q$19*$Q$13)</f>
        <v>4.5363893333333332</v>
      </c>
      <c r="AL37">
        <v>15.5</v>
      </c>
      <c r="AM37">
        <f>IF(OR($Q$17&gt;0,$Q$18&lt;0),NA(),1+$Q$20)</f>
        <v>1</v>
      </c>
      <c r="AO37">
        <v>17</v>
      </c>
      <c r="AP37">
        <f>1+$Q$13+0.03</f>
        <v>1.8499999999999999</v>
      </c>
      <c r="AQ37" t="str">
        <f>Line!$A$19</f>
        <v>Business partner 14</v>
      </c>
      <c r="AS37">
        <v>3.35</v>
      </c>
      <c r="AT37">
        <f>4+0.5*$Q$13</f>
        <v>4.41</v>
      </c>
      <c r="AU37" t="str">
        <f>TEXT($Q$17+($Q$18-$Q$17)*0.5,"#,##0")</f>
        <v>750</v>
      </c>
    </row>
    <row r="38" spans="16:47" x14ac:dyDescent="0.35">
      <c r="P38">
        <v>15</v>
      </c>
      <c r="Q38">
        <f>P38-$Q$12</f>
        <v>12</v>
      </c>
      <c r="R38">
        <f>IF(Q38&lt;=0,-1,INT((Q38-1)/($Q$10+$Q$11)))</f>
        <v>0</v>
      </c>
      <c r="S38">
        <f>IF(Q38&lt;=0,-1,MOD(Q38-1,($Q$10+$Q$11)))</f>
        <v>11</v>
      </c>
      <c r="T38">
        <f>IF(OR(S38&lt;0,S38&gt;=$Q$10),-1,INT(S38/$Q$9))</f>
        <v>11</v>
      </c>
      <c r="U38">
        <f>IF(OR(S38&lt;0,S38&gt;=$Q$10),-1,MOD(S38,$Q$9))</f>
        <v>0</v>
      </c>
      <c r="V38">
        <f>IF(OR(Q38&lt;=0,S38&lt;0,S38&gt;=$Q$10,R38&gt;=$Q$7),1,0)</f>
        <v>0</v>
      </c>
      <c r="W38">
        <f>IF(V38=1,-1,T38)</f>
        <v>11</v>
      </c>
      <c r="X38">
        <f>IF(V38=1,-1,R38)</f>
        <v>0</v>
      </c>
      <c r="Y38" t="str">
        <f>IF(V38=1,"",IF(AND(MOD(W38,3)=0,U38=INT(($Q$9-1)/2)),INDEX($B$5:$M$5,W38+1),""))</f>
        <v/>
      </c>
      <c r="Z38">
        <f>IF(OR(V38=1),NA(),0+(INDEX($B$6:$M$25,($Q$3-1-0)*$Q$4+X38+1,0*$Q$5+W38+1)-$Q$17)/$Q$19*$Q$13)</f>
        <v>0.59100133333333316</v>
      </c>
      <c r="AA38">
        <f>IF(OR(V38=1),NA(),1+(INDEX($B$6:$M$25,($Q$3-1-1)*$Q$4+X38+1,0*$Q$5+W38+1)-$Q$17)/$Q$19*$Q$13)</f>
        <v>1.4266186666666667</v>
      </c>
      <c r="AB38">
        <f>IF(OR(V38=1),NA(),2+(INDEX($B$6:$M$25,($Q$3-1-2)*$Q$4+X38+1,0*$Q$5+W38+1)-$Q$17)/$Q$19*$Q$13)</f>
        <v>2.58548</v>
      </c>
      <c r="AC38">
        <f>IF(OR(V38=1),NA(),3+(INDEX($B$6:$M$25,($Q$3-1-3)*$Q$4+X38+1,0*$Q$5+W38+1)-$Q$17)/$Q$19*$Q$13)</f>
        <v>3.3226426666666669</v>
      </c>
      <c r="AD38">
        <f>IF(OR(V38=1),NA(),4+(INDEX($B$6:$M$25,($Q$3-1-4)*$Q$4+X38+1,0*$Q$5+W38+1)-$Q$17)/$Q$19*$Q$13)</f>
        <v>4.5799586666666663</v>
      </c>
      <c r="AL38">
        <v>15.5</v>
      </c>
      <c r="AM38" t="e">
        <f>NA()</f>
        <v>#N/A</v>
      </c>
      <c r="AO38">
        <v>30</v>
      </c>
      <c r="AP38">
        <f>1+$Q$13+0.03</f>
        <v>1.8499999999999999</v>
      </c>
      <c r="AQ38" t="str">
        <f>Line!$A$20</f>
        <v>Business partner 15</v>
      </c>
      <c r="AS38">
        <v>3.35</v>
      </c>
      <c r="AT38">
        <f>4+1*$Q$13</f>
        <v>4.82</v>
      </c>
      <c r="AU38" t="str">
        <f>TEXT($Q$17+($Q$18-$Q$17)*1,"#,##0")</f>
        <v>1,500</v>
      </c>
    </row>
    <row r="39" spans="16:47" x14ac:dyDescent="0.35">
      <c r="P39">
        <v>16</v>
      </c>
      <c r="Q39">
        <f>P39-$Q$12</f>
        <v>13</v>
      </c>
      <c r="R39">
        <f>IF(Q39&lt;=0,-1,INT((Q39-1)/($Q$10+$Q$11)))</f>
        <v>0</v>
      </c>
      <c r="S39">
        <f>IF(Q39&lt;=0,-1,MOD(Q39-1,($Q$10+$Q$11)))</f>
        <v>12</v>
      </c>
      <c r="T39">
        <f>IF(OR(S39&lt;0,S39&gt;=$Q$10),-1,INT(S39/$Q$9))</f>
        <v>-1</v>
      </c>
      <c r="U39">
        <f>IF(OR(S39&lt;0,S39&gt;=$Q$10),-1,MOD(S39,$Q$9))</f>
        <v>-1</v>
      </c>
      <c r="V39">
        <f>IF(OR(Q39&lt;=0,S39&lt;0,S39&gt;=$Q$10,R39&gt;=$Q$7),1,0)</f>
        <v>1</v>
      </c>
      <c r="W39">
        <f>IF(V39=1,-1,T39)</f>
        <v>-1</v>
      </c>
      <c r="X39">
        <f>IF(V39=1,-1,R39)</f>
        <v>-1</v>
      </c>
      <c r="Y39" t="str">
        <f>IF(V39=1,"",IF(AND(MOD(W39,3)=0,U39=INT(($Q$9-1)/2)),INDEX($B$5:$M$5,W39+1),""))</f>
        <v/>
      </c>
      <c r="Z39" t="e">
        <f>IF(OR(V39=1),NA(),0+(INDEX($B$6:$M$25,($Q$3-1-0)*$Q$4+X39+1,0*$Q$5+W39+1)-$Q$17)/$Q$19*$Q$13)</f>
        <v>#N/A</v>
      </c>
      <c r="AA39" t="e">
        <f>IF(OR(V39=1),NA(),1+(INDEX($B$6:$M$25,($Q$3-1-1)*$Q$4+X39+1,0*$Q$5+W39+1)-$Q$17)/$Q$19*$Q$13)</f>
        <v>#N/A</v>
      </c>
      <c r="AB39" t="e">
        <f>IF(OR(V39=1),NA(),2+(INDEX($B$6:$M$25,($Q$3-1-2)*$Q$4+X39+1,0*$Q$5+W39+1)-$Q$17)/$Q$19*$Q$13)</f>
        <v>#N/A</v>
      </c>
      <c r="AC39" t="e">
        <f>IF(OR(V39=1),NA(),3+(INDEX($B$6:$M$25,($Q$3-1-3)*$Q$4+X39+1,0*$Q$5+W39+1)-$Q$17)/$Q$19*$Q$13)</f>
        <v>#N/A</v>
      </c>
      <c r="AD39" t="e">
        <f>IF(OR(V39=1),NA(),4+(INDEX($B$6:$M$25,($Q$3-1-4)*$Q$4+X39+1,0*$Q$5+W39+1)-$Q$17)/$Q$19*$Q$13)</f>
        <v>#N/A</v>
      </c>
      <c r="AL39">
        <v>16.5</v>
      </c>
      <c r="AM39">
        <f>IF(OR($Q$17&gt;0,$Q$18&lt;0),NA(),1+$Q$20)</f>
        <v>1</v>
      </c>
      <c r="AO39">
        <v>43</v>
      </c>
      <c r="AP39">
        <f>1+$Q$13+0.03</f>
        <v>1.8499999999999999</v>
      </c>
      <c r="AQ39" t="str">
        <f>Line!$A$21</f>
        <v>Business partner 16</v>
      </c>
    </row>
    <row r="40" spans="16:47" x14ac:dyDescent="0.35">
      <c r="P40">
        <v>17</v>
      </c>
      <c r="Q40">
        <f>P40-$Q$12</f>
        <v>14</v>
      </c>
      <c r="R40">
        <f>IF(Q40&lt;=0,-1,INT((Q40-1)/($Q$10+$Q$11)))</f>
        <v>1</v>
      </c>
      <c r="S40">
        <f>IF(Q40&lt;=0,-1,MOD(Q40-1,($Q$10+$Q$11)))</f>
        <v>0</v>
      </c>
      <c r="T40">
        <f>IF(OR(S40&lt;0,S40&gt;=$Q$10),-1,INT(S40/$Q$9))</f>
        <v>0</v>
      </c>
      <c r="U40">
        <f>IF(OR(S40&lt;0,S40&gt;=$Q$10),-1,MOD(S40,$Q$9))</f>
        <v>0</v>
      </c>
      <c r="V40">
        <f>IF(OR(Q40&lt;=0,S40&lt;0,S40&gt;=$Q$10,R40&gt;=$Q$7),1,0)</f>
        <v>0</v>
      </c>
      <c r="W40">
        <f>IF(V40=1,-1,T40)</f>
        <v>0</v>
      </c>
      <c r="X40">
        <f>IF(V40=1,-1,R40)</f>
        <v>1</v>
      </c>
      <c r="Y40" t="str">
        <f>IF(V40=1,"",IF(AND(MOD(W40,3)=0,U40=INT(($Q$9-1)/2)),INDEX($B$5:$M$5,W40+1),""))</f>
        <v>Jan</v>
      </c>
      <c r="Z40">
        <f>IF(OR(V40=1),NA(),0+(INDEX($B$6:$M$25,($Q$3-1-0)*$Q$4+X40+1,0*$Q$5+W40+1)-$Q$17)/$Q$19*$Q$13)</f>
        <v>0.40179999999999999</v>
      </c>
      <c r="AA40">
        <f>IF(OR(V40=1),NA(),1+(INDEX($B$6:$M$25,($Q$3-1-1)*$Q$4+X40+1,0*$Q$5+W40+1)-$Q$17)/$Q$19*$Q$13)</f>
        <v>1.5193333333333334</v>
      </c>
      <c r="AB40">
        <f>IF(OR(V40=1),NA(),2+(INDEX($B$6:$M$25,($Q$3-1-2)*$Q$4+X40+1,0*$Q$5+W40+1)-$Q$17)/$Q$19*$Q$13)</f>
        <v>2.3061333333333334</v>
      </c>
      <c r="AC40">
        <f>IF(OR(V40=1),NA(),3+(INDEX($B$6:$M$25,($Q$3-1-3)*$Q$4+X40+1,0*$Q$5+W40+1)-$Q$17)/$Q$19*$Q$13)</f>
        <v>3.5220666666666665</v>
      </c>
      <c r="AD40">
        <f>IF(OR(V40=1),NA(),4+(INDEX($B$6:$M$25,($Q$3-1-4)*$Q$4+X40+1,0*$Q$5+W40+1)-$Q$17)/$Q$19*$Q$13)</f>
        <v>4.3088666666666668</v>
      </c>
      <c r="AL40">
        <v>28.5</v>
      </c>
      <c r="AM40">
        <f>IF(OR($Q$17&gt;0,$Q$18&lt;0),NA(),1+$Q$20)</f>
        <v>1</v>
      </c>
      <c r="AO40">
        <v>4</v>
      </c>
      <c r="AP40">
        <f>0+$Q$13+0.03</f>
        <v>0.85</v>
      </c>
      <c r="AQ40" t="str">
        <f>Line!$A$22</f>
        <v>Business partner 17</v>
      </c>
    </row>
    <row r="41" spans="16:47" x14ac:dyDescent="0.35">
      <c r="P41">
        <v>18</v>
      </c>
      <c r="Q41">
        <f>P41-$Q$12</f>
        <v>15</v>
      </c>
      <c r="R41">
        <f>IF(Q41&lt;=0,-1,INT((Q41-1)/($Q$10+$Q$11)))</f>
        <v>1</v>
      </c>
      <c r="S41">
        <f>IF(Q41&lt;=0,-1,MOD(Q41-1,($Q$10+$Q$11)))</f>
        <v>1</v>
      </c>
      <c r="T41">
        <f>IF(OR(S41&lt;0,S41&gt;=$Q$10),-1,INT(S41/$Q$9))</f>
        <v>1</v>
      </c>
      <c r="U41">
        <f>IF(OR(S41&lt;0,S41&gt;=$Q$10),-1,MOD(S41,$Q$9))</f>
        <v>0</v>
      </c>
      <c r="V41">
        <f>IF(OR(Q41&lt;=0,S41&lt;0,S41&gt;=$Q$10,R41&gt;=$Q$7),1,0)</f>
        <v>0</v>
      </c>
      <c r="W41">
        <f>IF(V41=1,-1,T41)</f>
        <v>1</v>
      </c>
      <c r="X41">
        <f>IF(V41=1,-1,R41)</f>
        <v>1</v>
      </c>
      <c r="Y41" t="str">
        <f>IF(V41=1,"",IF(AND(MOD(W41,3)=0,U41=INT(($Q$9-1)/2)),INDEX($B$5:$M$5,W41+1),""))</f>
        <v/>
      </c>
      <c r="Z41">
        <f>IF(OR(V41=1),NA(),0+(INDEX($B$6:$M$25,($Q$3-1-0)*$Q$4+X41+1,0*$Q$5+W41+1)-$Q$17)/$Q$19*$Q$13)</f>
        <v>0.34543866666666667</v>
      </c>
      <c r="AA41">
        <f>IF(OR(V41=1),NA(),1+(INDEX($B$6:$M$25,($Q$3-1-1)*$Q$4+X41+1,0*$Q$5+W41+1)-$Q$17)/$Q$19*$Q$13)</f>
        <v>1.5651439999999999</v>
      </c>
      <c r="AB41">
        <f>IF(OR(V41=1),NA(),2+(INDEX($B$6:$M$25,($Q$3-1-2)*$Q$4+X41+1,0*$Q$5+W41+1)-$Q$17)/$Q$19*$Q$13)</f>
        <v>2.3474066666666666</v>
      </c>
      <c r="AC41">
        <f>IF(OR(V41=1),NA(),3+(INDEX($B$6:$M$25,($Q$3-1-3)*$Q$4+X41+1,0*$Q$5+W41+1)-$Q$17)/$Q$19*$Q$13)</f>
        <v>3.468712</v>
      </c>
      <c r="AD41">
        <f>IF(OR(V41=1),NA(),4+(INDEX($B$6:$M$25,($Q$3-1-4)*$Q$4+X41+1,0*$Q$5+W41+1)-$Q$17)/$Q$19*$Q$13)</f>
        <v>4.3493746666666668</v>
      </c>
      <c r="AL41">
        <v>28.5</v>
      </c>
      <c r="AM41" t="e">
        <f>NA()</f>
        <v>#N/A</v>
      </c>
      <c r="AO41">
        <v>17</v>
      </c>
      <c r="AP41">
        <f>0+$Q$13+0.03</f>
        <v>0.85</v>
      </c>
      <c r="AQ41" t="str">
        <f>Line!$A$23</f>
        <v>Business partner 18</v>
      </c>
    </row>
    <row r="42" spans="16:47" x14ac:dyDescent="0.35">
      <c r="P42">
        <v>19</v>
      </c>
      <c r="Q42">
        <f>P42-$Q$12</f>
        <v>16</v>
      </c>
      <c r="R42">
        <f>IF(Q42&lt;=0,-1,INT((Q42-1)/($Q$10+$Q$11)))</f>
        <v>1</v>
      </c>
      <c r="S42">
        <f>IF(Q42&lt;=0,-1,MOD(Q42-1,($Q$10+$Q$11)))</f>
        <v>2</v>
      </c>
      <c r="T42">
        <f>IF(OR(S42&lt;0,S42&gt;=$Q$10),-1,INT(S42/$Q$9))</f>
        <v>2</v>
      </c>
      <c r="U42">
        <f>IF(OR(S42&lt;0,S42&gt;=$Q$10),-1,MOD(S42,$Q$9))</f>
        <v>0</v>
      </c>
      <c r="V42">
        <f>IF(OR(Q42&lt;=0,S42&lt;0,S42&gt;=$Q$10,R42&gt;=$Q$7),1,0)</f>
        <v>0</v>
      </c>
      <c r="W42">
        <f>IF(V42=1,-1,T42)</f>
        <v>2</v>
      </c>
      <c r="X42">
        <f>IF(V42=1,-1,R42)</f>
        <v>1</v>
      </c>
      <c r="Y42" t="str">
        <f>IF(V42=1,"",IF(AND(MOD(W42,3)=0,U42=INT(($Q$9-1)/2)),INDEX($B$5:$M$5,W42+1),""))</f>
        <v/>
      </c>
      <c r="Z42">
        <f>IF(OR(V42=1),NA(),0+(INDEX($B$6:$M$25,($Q$3-1-0)*$Q$4+X42+1,0*$Q$5+W42+1)-$Q$17)/$Q$19*$Q$13)</f>
        <v>0.38747733333333328</v>
      </c>
      <c r="AA42">
        <f>IF(OR(V42=1),NA(),1+(INDEX($B$6:$M$25,($Q$3-1-1)*$Q$4+X42+1,0*$Q$5+W42+1)-$Q$17)/$Q$19*$Q$13)</f>
        <v>1.5125</v>
      </c>
      <c r="AB42">
        <f>IF(OR(V42=1),NA(),2+(INDEX($B$6:$M$25,($Q$3-1-2)*$Q$4+X42+1,0*$Q$5+W42+1)-$Q$17)/$Q$19*$Q$13)</f>
        <v>2.3886799999999999</v>
      </c>
      <c r="AC42">
        <f>IF(OR(V42=1),NA(),3+(INDEX($B$6:$M$25,($Q$3-1-3)*$Q$4+X42+1,0*$Q$5+W42+1)-$Q$17)/$Q$19*$Q$13)</f>
        <v>3.5137573333333334</v>
      </c>
      <c r="AD42">
        <f>IF(OR(V42=1),NA(),4+(INDEX($B$6:$M$25,($Q$3-1-4)*$Q$4+X42+1,0*$Q$5+W42+1)-$Q$17)/$Q$19*$Q$13)</f>
        <v>4.291482666666667</v>
      </c>
      <c r="AL42">
        <v>29.5</v>
      </c>
      <c r="AM42">
        <f>IF(OR($Q$17&gt;0,$Q$18&lt;0),NA(),1+$Q$20)</f>
        <v>1</v>
      </c>
      <c r="AO42">
        <v>30</v>
      </c>
      <c r="AP42">
        <f>0+$Q$13+0.03</f>
        <v>0.85</v>
      </c>
      <c r="AQ42" t="str">
        <f>Line!$A$24</f>
        <v>Business partner 19</v>
      </c>
    </row>
    <row r="43" spans="16:47" x14ac:dyDescent="0.35">
      <c r="P43">
        <v>20</v>
      </c>
      <c r="Q43">
        <f>P43-$Q$12</f>
        <v>17</v>
      </c>
      <c r="R43">
        <f>IF(Q43&lt;=0,-1,INT((Q43-1)/($Q$10+$Q$11)))</f>
        <v>1</v>
      </c>
      <c r="S43">
        <f>IF(Q43&lt;=0,-1,MOD(Q43-1,($Q$10+$Q$11)))</f>
        <v>3</v>
      </c>
      <c r="T43">
        <f>IF(OR(S43&lt;0,S43&gt;=$Q$10),-1,INT(S43/$Q$9))</f>
        <v>3</v>
      </c>
      <c r="U43">
        <f>IF(OR(S43&lt;0,S43&gt;=$Q$10),-1,MOD(S43,$Q$9))</f>
        <v>0</v>
      </c>
      <c r="V43">
        <f>IF(OR(Q43&lt;=0,S43&lt;0,S43&gt;=$Q$10,R43&gt;=$Q$7),1,0)</f>
        <v>0</v>
      </c>
      <c r="W43">
        <f>IF(V43=1,-1,T43)</f>
        <v>3</v>
      </c>
      <c r="X43">
        <f>IF(V43=1,-1,R43)</f>
        <v>1</v>
      </c>
      <c r="Y43" t="str">
        <f>IF(V43=1,"",IF(AND(MOD(W43,3)=0,U43=INT(($Q$9-1)/2)),INDEX($B$5:$M$5,W43+1),""))</f>
        <v>Apr</v>
      </c>
      <c r="Z43">
        <f>IF(OR(V43=1),NA(),0+(INDEX($B$6:$M$25,($Q$3-1-0)*$Q$4+X43+1,0*$Q$5+W43+1)-$Q$17)/$Q$19*$Q$13)</f>
        <v>0.42946133333333336</v>
      </c>
      <c r="AA43">
        <f>IF(OR(V43=1),NA(),1+(INDEX($B$6:$M$25,($Q$3-1-1)*$Q$4+X43+1,0*$Q$5+W43+1)-$Q$17)/$Q$19*$Q$13)</f>
        <v>1.5582560000000001</v>
      </c>
      <c r="AB43">
        <f>IF(OR(V43=1),NA(),2+(INDEX($B$6:$M$25,($Q$3-1-2)*$Q$4+X43+1,0*$Q$5+W43+1)-$Q$17)/$Q$19*$Q$13)</f>
        <v>2.3315533333333334</v>
      </c>
      <c r="AC43">
        <f>IF(OR(V43=1),NA(),3+(INDEX($B$6:$M$25,($Q$3-1-3)*$Q$4+X43+1,0*$Q$5+W43+1)-$Q$17)/$Q$19*$Q$13)</f>
        <v>3.558748</v>
      </c>
      <c r="AD43">
        <f>IF(OR(V43=1),NA(),4+(INDEX($B$6:$M$25,($Q$3-1-4)*$Q$4+X43+1,0*$Q$5+W43+1)-$Q$17)/$Q$19*$Q$13)</f>
        <v>4.3320453333333333</v>
      </c>
      <c r="AL43">
        <v>41.5</v>
      </c>
      <c r="AM43">
        <f>IF(OR($Q$17&gt;0,$Q$18&lt;0),NA(),1+$Q$20)</f>
        <v>1</v>
      </c>
      <c r="AO43">
        <v>43</v>
      </c>
      <c r="AP43">
        <f>0+$Q$13+0.03</f>
        <v>0.85</v>
      </c>
      <c r="AQ43" t="str">
        <f>Line!$A$25</f>
        <v>Business partner 20</v>
      </c>
    </row>
    <row r="44" spans="16:47" x14ac:dyDescent="0.35">
      <c r="P44">
        <v>21</v>
      </c>
      <c r="Q44">
        <f>P44-$Q$12</f>
        <v>18</v>
      </c>
      <c r="R44">
        <f>IF(Q44&lt;=0,-1,INT((Q44-1)/($Q$10+$Q$11)))</f>
        <v>1</v>
      </c>
      <c r="S44">
        <f>IF(Q44&lt;=0,-1,MOD(Q44-1,($Q$10+$Q$11)))</f>
        <v>4</v>
      </c>
      <c r="T44">
        <f>IF(OR(S44&lt;0,S44&gt;=$Q$10),-1,INT(S44/$Q$9))</f>
        <v>4</v>
      </c>
      <c r="U44">
        <f>IF(OR(S44&lt;0,S44&gt;=$Q$10),-1,MOD(S44,$Q$9))</f>
        <v>0</v>
      </c>
      <c r="V44">
        <f>IF(OR(Q44&lt;=0,S44&lt;0,S44&gt;=$Q$10,R44&gt;=$Q$7),1,0)</f>
        <v>0</v>
      </c>
      <c r="W44">
        <f>IF(V44=1,-1,T44)</f>
        <v>4</v>
      </c>
      <c r="X44">
        <f>IF(V44=1,-1,R44)</f>
        <v>1</v>
      </c>
      <c r="Y44" t="str">
        <f>IF(V44=1,"",IF(AND(MOD(W44,3)=0,U44=INT(($Q$9-1)/2)),INDEX($B$5:$M$5,W44+1),""))</f>
        <v/>
      </c>
      <c r="Z44">
        <f>IF(OR(V44=1),NA(),0+(INDEX($B$6:$M$25,($Q$3-1-0)*$Q$4+X44+1,0*$Q$5+W44+1)-$Q$17)/$Q$19*$Q$13)</f>
        <v>0.37309999999999999</v>
      </c>
      <c r="AA44">
        <f>IF(OR(V44=1),NA(),1+(INDEX($B$6:$M$25,($Q$3-1-1)*$Q$4+X44+1,0*$Q$5+W44+1)-$Q$17)/$Q$19*$Q$13)</f>
        <v>1.6040666666666668</v>
      </c>
      <c r="AB44">
        <f>IF(OR(V44=1),NA(),2+(INDEX($B$6:$M$25,($Q$3-1-2)*$Q$4+X44+1,0*$Q$5+W44+1)-$Q$17)/$Q$19*$Q$13)</f>
        <v>2.3728266666666666</v>
      </c>
      <c r="AC44">
        <f>IF(OR(V44=1),NA(),3+(INDEX($B$6:$M$25,($Q$3-1-3)*$Q$4+X44+1,0*$Q$5+W44+1)-$Q$17)/$Q$19*$Q$13)</f>
        <v>3.5053933333333331</v>
      </c>
      <c r="AD44">
        <f>IF(OR(V44=1),NA(),4+(INDEX($B$6:$M$25,($Q$3-1-4)*$Q$4+X44+1,0*$Q$5+W44+1)-$Q$17)/$Q$19*$Q$13)</f>
        <v>4.3725533333333333</v>
      </c>
      <c r="AL44">
        <v>41.5</v>
      </c>
      <c r="AM44" t="e">
        <f>NA()</f>
        <v>#N/A</v>
      </c>
    </row>
    <row r="45" spans="16:47" x14ac:dyDescent="0.35">
      <c r="P45">
        <v>22</v>
      </c>
      <c r="Q45">
        <f>P45-$Q$12</f>
        <v>19</v>
      </c>
      <c r="R45">
        <f>IF(Q45&lt;=0,-1,INT((Q45-1)/($Q$10+$Q$11)))</f>
        <v>1</v>
      </c>
      <c r="S45">
        <f>IF(Q45&lt;=0,-1,MOD(Q45-1,($Q$10+$Q$11)))</f>
        <v>5</v>
      </c>
      <c r="T45">
        <f>IF(OR(S45&lt;0,S45&gt;=$Q$10),-1,INT(S45/$Q$9))</f>
        <v>5</v>
      </c>
      <c r="U45">
        <f>IF(OR(S45&lt;0,S45&gt;=$Q$10),-1,MOD(S45,$Q$9))</f>
        <v>0</v>
      </c>
      <c r="V45">
        <f>IF(OR(Q45&lt;=0,S45&lt;0,S45&gt;=$Q$10,R45&gt;=$Q$7),1,0)</f>
        <v>0</v>
      </c>
      <c r="W45">
        <f>IF(V45=1,-1,T45)</f>
        <v>5</v>
      </c>
      <c r="X45">
        <f>IF(V45=1,-1,R45)</f>
        <v>1</v>
      </c>
      <c r="Y45" t="str">
        <f>IF(V45=1,"",IF(AND(MOD(W45,3)=0,U45=INT(($Q$9-1)/2)),INDEX($B$5:$M$5,W45+1),""))</f>
        <v/>
      </c>
      <c r="Z45">
        <f>IF(OR(V45=1),NA(),0+(INDEX($B$6:$M$25,($Q$3-1-0)*$Q$4+X45+1,0*$Q$5+W45+1)-$Q$17)/$Q$19*$Q$13)</f>
        <v>0.4151386666666666</v>
      </c>
      <c r="AA45">
        <f>IF(OR(V45=1),NA(),1+(INDEX($B$6:$M$25,($Q$3-1-1)*$Q$4+X45+1,0*$Q$5+W45+1)-$Q$17)/$Q$19*$Q$13)</f>
        <v>1.5514773333333332</v>
      </c>
      <c r="AB45">
        <f>IF(OR(V45=1),NA(),2+(INDEX($B$6:$M$25,($Q$3-1-2)*$Q$4+X45+1,0*$Q$5+W45+1)-$Q$17)/$Q$19*$Q$13)</f>
        <v>2.4140999999999999</v>
      </c>
      <c r="AC45">
        <f>IF(OR(V45=1),NA(),3+(INDEX($B$6:$M$25,($Q$3-1-3)*$Q$4+X45+1,0*$Q$5+W45+1)-$Q$17)/$Q$19*$Q$13)</f>
        <v>3.5504386666666665</v>
      </c>
      <c r="AD45">
        <f>IF(OR(V45=1),NA(),4+(INDEX($B$6:$M$25,($Q$3-1-4)*$Q$4+X45+1,0*$Q$5+W45+1)-$Q$17)/$Q$19*$Q$13)</f>
        <v>4.3146613333333335</v>
      </c>
      <c r="AL45">
        <v>42.5</v>
      </c>
      <c r="AM45">
        <f>IF(OR($Q$17&gt;0,$Q$18&lt;0),NA(),1+$Q$20)</f>
        <v>1</v>
      </c>
    </row>
    <row r="46" spans="16:47" x14ac:dyDescent="0.35">
      <c r="P46">
        <v>23</v>
      </c>
      <c r="Q46">
        <f>P46-$Q$12</f>
        <v>20</v>
      </c>
      <c r="R46">
        <f>IF(Q46&lt;=0,-1,INT((Q46-1)/($Q$10+$Q$11)))</f>
        <v>1</v>
      </c>
      <c r="S46">
        <f>IF(Q46&lt;=0,-1,MOD(Q46-1,($Q$10+$Q$11)))</f>
        <v>6</v>
      </c>
      <c r="T46">
        <f>IF(OR(S46&lt;0,S46&gt;=$Q$10),-1,INT(S46/$Q$9))</f>
        <v>6</v>
      </c>
      <c r="U46">
        <f>IF(OR(S46&lt;0,S46&gt;=$Q$10),-1,MOD(S46,$Q$9))</f>
        <v>0</v>
      </c>
      <c r="V46">
        <f>IF(OR(Q46&lt;=0,S46&lt;0,S46&gt;=$Q$10,R46&gt;=$Q$7),1,0)</f>
        <v>0</v>
      </c>
      <c r="W46">
        <f>IF(V46=1,-1,T46)</f>
        <v>6</v>
      </c>
      <c r="X46">
        <f>IF(V46=1,-1,R46)</f>
        <v>1</v>
      </c>
      <c r="Y46" t="str">
        <f>IF(V46=1,"",IF(AND(MOD(W46,3)=0,U46=INT(($Q$9-1)/2)),INDEX($B$5:$M$5,W46+1),""))</f>
        <v>Jul</v>
      </c>
      <c r="Z46">
        <f>IF(OR(V46=1),NA(),0+(INDEX($B$6:$M$25,($Q$3-1-0)*$Q$4+X46+1,0*$Q$5+W46+1)-$Q$17)/$Q$19*$Q$13)</f>
        <v>0.45712266666666662</v>
      </c>
      <c r="AA46">
        <f>IF(OR(V46=1),NA(),1+(INDEX($B$6:$M$25,($Q$3-1-1)*$Q$4+X46+1,0*$Q$5+W46+1)-$Q$17)/$Q$19*$Q$13)</f>
        <v>1.5972333333333335</v>
      </c>
      <c r="AB46">
        <f>IF(OR(V46=1),NA(),2+(INDEX($B$6:$M$25,($Q$3-1-2)*$Q$4+X46+1,0*$Q$5+W46+1)-$Q$17)/$Q$19*$Q$13)</f>
        <v>2.3569733333333334</v>
      </c>
      <c r="AC46">
        <f>IF(OR(V46=1),NA(),3+(INDEX($B$6:$M$25,($Q$3-1-3)*$Q$4+X46+1,0*$Q$5+W46+1)-$Q$17)/$Q$19*$Q$13)</f>
        <v>3.5954293333333336</v>
      </c>
      <c r="AD46">
        <f>IF(OR(V46=1),NA(),4+(INDEX($B$6:$M$25,($Q$3-1-4)*$Q$4+X46+1,0*$Q$5+W46+1)-$Q$17)/$Q$19*$Q$13)</f>
        <v>4.3552239999999998</v>
      </c>
      <c r="AL46">
        <v>54.5</v>
      </c>
      <c r="AM46">
        <f>IF(OR($Q$17&gt;0,$Q$18&lt;0),NA(),1+$Q$20)</f>
        <v>1</v>
      </c>
    </row>
    <row r="47" spans="16:47" x14ac:dyDescent="0.35">
      <c r="P47">
        <v>24</v>
      </c>
      <c r="Q47">
        <f>P47-$Q$12</f>
        <v>21</v>
      </c>
      <c r="R47">
        <f>IF(Q47&lt;=0,-1,INT((Q47-1)/($Q$10+$Q$11)))</f>
        <v>1</v>
      </c>
      <c r="S47">
        <f>IF(Q47&lt;=0,-1,MOD(Q47-1,($Q$10+$Q$11)))</f>
        <v>7</v>
      </c>
      <c r="T47">
        <f>IF(OR(S47&lt;0,S47&gt;=$Q$10),-1,INT(S47/$Q$9))</f>
        <v>7</v>
      </c>
      <c r="U47">
        <f>IF(OR(S47&lt;0,S47&gt;=$Q$10),-1,MOD(S47,$Q$9))</f>
        <v>0</v>
      </c>
      <c r="V47">
        <f>IF(OR(Q47&lt;=0,S47&lt;0,S47&gt;=$Q$10,R47&gt;=$Q$7),1,0)</f>
        <v>0</v>
      </c>
      <c r="W47">
        <f>IF(V47=1,-1,T47)</f>
        <v>7</v>
      </c>
      <c r="X47">
        <f>IF(V47=1,-1,R47)</f>
        <v>1</v>
      </c>
      <c r="Y47" t="str">
        <f>IF(V47=1,"",IF(AND(MOD(W47,3)=0,U47=INT(($Q$9-1)/2)),INDEX($B$5:$M$5,W47+1),""))</f>
        <v/>
      </c>
      <c r="Z47">
        <f>IF(OR(V47=1),NA(),0+(INDEX($B$6:$M$25,($Q$3-1-0)*$Q$4+X47+1,0*$Q$5+W47+1)-$Q$17)/$Q$19*$Q$13)</f>
        <v>0.4007613333333333</v>
      </c>
      <c r="AA47">
        <f>IF(OR(V47=1),NA(),1+(INDEX($B$6:$M$25,($Q$3-1-1)*$Q$4+X47+1,0*$Q$5+W47+1)-$Q$17)/$Q$19*$Q$13)</f>
        <v>1.6429893333333334</v>
      </c>
      <c r="AB47">
        <f>IF(OR(V47=1),NA(),2+(INDEX($B$6:$M$25,($Q$3-1-2)*$Q$4+X47+1,0*$Q$5+W47+1)-$Q$17)/$Q$19*$Q$13)</f>
        <v>2.3982466666666666</v>
      </c>
      <c r="AC47">
        <f>IF(OR(V47=1),NA(),3+(INDEX($B$6:$M$25,($Q$3-1-3)*$Q$4+X47+1,0*$Q$5+W47+1)-$Q$17)/$Q$19*$Q$13)</f>
        <v>3.5420746666666667</v>
      </c>
      <c r="AD47">
        <f>IF(OR(V47=1),NA(),4+(INDEX($B$6:$M$25,($Q$3-1-4)*$Q$4+X47+1,0*$Q$5+W47+1)-$Q$17)/$Q$19*$Q$13)</f>
        <v>4.3957319999999998</v>
      </c>
      <c r="AL47">
        <v>54.5</v>
      </c>
      <c r="AM47" t="e">
        <f>NA()</f>
        <v>#N/A</v>
      </c>
    </row>
    <row r="48" spans="16:47" x14ac:dyDescent="0.35">
      <c r="P48">
        <v>25</v>
      </c>
      <c r="Q48">
        <f>P48-$Q$12</f>
        <v>22</v>
      </c>
      <c r="R48">
        <f>IF(Q48&lt;=0,-1,INT((Q48-1)/($Q$10+$Q$11)))</f>
        <v>1</v>
      </c>
      <c r="S48">
        <f>IF(Q48&lt;=0,-1,MOD(Q48-1,($Q$10+$Q$11)))</f>
        <v>8</v>
      </c>
      <c r="T48">
        <f>IF(OR(S48&lt;0,S48&gt;=$Q$10),-1,INT(S48/$Q$9))</f>
        <v>8</v>
      </c>
      <c r="U48">
        <f>IF(OR(S48&lt;0,S48&gt;=$Q$10),-1,MOD(S48,$Q$9))</f>
        <v>0</v>
      </c>
      <c r="V48">
        <f>IF(OR(Q48&lt;=0,S48&lt;0,S48&gt;=$Q$10,R48&gt;=$Q$7),1,0)</f>
        <v>0</v>
      </c>
      <c r="W48">
        <f>IF(V48=1,-1,T48)</f>
        <v>8</v>
      </c>
      <c r="X48">
        <f>IF(V48=1,-1,R48)</f>
        <v>1</v>
      </c>
      <c r="Y48" t="str">
        <f>IF(V48=1,"",IF(AND(MOD(W48,3)=0,U48=INT(($Q$9-1)/2)),INDEX($B$5:$M$5,W48+1),""))</f>
        <v/>
      </c>
      <c r="Z48">
        <f>IF(OR(V48=1),NA(),0+(INDEX($B$6:$M$25,($Q$3-1-0)*$Q$4+X48+1,0*$Q$5+W48+1)-$Q$17)/$Q$19*$Q$13)</f>
        <v>0.44280000000000003</v>
      </c>
      <c r="AA48">
        <f>IF(OR(V48=1),NA(),1+(INDEX($B$6:$M$25,($Q$3-1-1)*$Q$4+X48+1,0*$Q$5+W48+1)-$Q$17)/$Q$19*$Q$13)</f>
        <v>1.5903999999999998</v>
      </c>
      <c r="AB48">
        <f>IF(OR(V48=1),NA(),2+(INDEX($B$6:$M$25,($Q$3-1-2)*$Q$4+X48+1,0*$Q$5+W48+1)-$Q$17)/$Q$19*$Q$13)</f>
        <v>2.4395199999999999</v>
      </c>
      <c r="AC48">
        <f>IF(OR(V48=1),NA(),3+(INDEX($B$6:$M$25,($Q$3-1-3)*$Q$4+X48+1,0*$Q$5+W48+1)-$Q$17)/$Q$19*$Q$13)</f>
        <v>3.5871200000000001</v>
      </c>
      <c r="AD48">
        <f>IF(OR(V48=1),NA(),4+(INDEX($B$6:$M$25,($Q$3-1-4)*$Q$4+X48+1,0*$Q$5+W48+1)-$Q$17)/$Q$19*$Q$13)</f>
        <v>4.3378399999999999</v>
      </c>
      <c r="AL48">
        <v>3.5</v>
      </c>
      <c r="AM48">
        <f>IF(OR($Q$17&gt;0,$Q$18&lt;0),NA(),2+$Q$20)</f>
        <v>2</v>
      </c>
    </row>
    <row r="49" spans="16:39" x14ac:dyDescent="0.35">
      <c r="P49">
        <v>26</v>
      </c>
      <c r="Q49">
        <f>P49-$Q$12</f>
        <v>23</v>
      </c>
      <c r="R49">
        <f>IF(Q49&lt;=0,-1,INT((Q49-1)/($Q$10+$Q$11)))</f>
        <v>1</v>
      </c>
      <c r="S49">
        <f>IF(Q49&lt;=0,-1,MOD(Q49-1,($Q$10+$Q$11)))</f>
        <v>9</v>
      </c>
      <c r="T49">
        <f>IF(OR(S49&lt;0,S49&gt;=$Q$10),-1,INT(S49/$Q$9))</f>
        <v>9</v>
      </c>
      <c r="U49">
        <f>IF(OR(S49&lt;0,S49&gt;=$Q$10),-1,MOD(S49,$Q$9))</f>
        <v>0</v>
      </c>
      <c r="V49">
        <f>IF(OR(Q49&lt;=0,S49&lt;0,S49&gt;=$Q$10,R49&gt;=$Q$7),1,0)</f>
        <v>0</v>
      </c>
      <c r="W49">
        <f>IF(V49=1,-1,T49)</f>
        <v>9</v>
      </c>
      <c r="X49">
        <f>IF(V49=1,-1,R49)</f>
        <v>1</v>
      </c>
      <c r="Y49" t="str">
        <f>IF(V49=1,"",IF(AND(MOD(W49,3)=0,U49=INT(($Q$9-1)/2)),INDEX($B$5:$M$5,W49+1),""))</f>
        <v>Oct</v>
      </c>
      <c r="Z49">
        <f>IF(OR(V49=1),NA(),0+(INDEX($B$6:$M$25,($Q$3-1-0)*$Q$4+X49+1,0*$Q$5+W49+1)-$Q$17)/$Q$19*$Q$13)</f>
        <v>0.48483866666666658</v>
      </c>
      <c r="AA49">
        <f>IF(OR(V49=1),NA(),1+(INDEX($B$6:$M$25,($Q$3-1-1)*$Q$4+X49+1,0*$Q$5+W49+1)-$Q$17)/$Q$19*$Q$13)</f>
        <v>1.6362106666666665</v>
      </c>
      <c r="AB49">
        <f>IF(OR(V49=1),NA(),2+(INDEX($B$6:$M$25,($Q$3-1-2)*$Q$4+X49+1,0*$Q$5+W49+1)-$Q$17)/$Q$19*$Q$13)</f>
        <v>2.3823933333333334</v>
      </c>
      <c r="AC49">
        <f>IF(OR(V49=1),NA(),3+(INDEX($B$6:$M$25,($Q$3-1-3)*$Q$4+X49+1,0*$Q$5+W49+1)-$Q$17)/$Q$19*$Q$13)</f>
        <v>3.6321653333333335</v>
      </c>
      <c r="AD49">
        <f>IF(OR(V49=1),NA(),4+(INDEX($B$6:$M$25,($Q$3-1-4)*$Q$4+X49+1,0*$Q$5+W49+1)-$Q$17)/$Q$19*$Q$13)</f>
        <v>4.3783479999999999</v>
      </c>
      <c r="AL49">
        <v>15.5</v>
      </c>
      <c r="AM49">
        <f>IF(OR($Q$17&gt;0,$Q$18&lt;0),NA(),2+$Q$20)</f>
        <v>2</v>
      </c>
    </row>
    <row r="50" spans="16:39" x14ac:dyDescent="0.35">
      <c r="P50">
        <v>27</v>
      </c>
      <c r="Q50">
        <f>P50-$Q$12</f>
        <v>24</v>
      </c>
      <c r="R50">
        <f>IF(Q50&lt;=0,-1,INT((Q50-1)/($Q$10+$Q$11)))</f>
        <v>1</v>
      </c>
      <c r="S50">
        <f>IF(Q50&lt;=0,-1,MOD(Q50-1,($Q$10+$Q$11)))</f>
        <v>10</v>
      </c>
      <c r="T50">
        <f>IF(OR(S50&lt;0,S50&gt;=$Q$10),-1,INT(S50/$Q$9))</f>
        <v>10</v>
      </c>
      <c r="U50">
        <f>IF(OR(S50&lt;0,S50&gt;=$Q$10),-1,MOD(S50,$Q$9))</f>
        <v>0</v>
      </c>
      <c r="V50">
        <f>IF(OR(Q50&lt;=0,S50&lt;0,S50&gt;=$Q$10,R50&gt;=$Q$7),1,0)</f>
        <v>0</v>
      </c>
      <c r="W50">
        <f>IF(V50=1,-1,T50)</f>
        <v>10</v>
      </c>
      <c r="X50">
        <f>IF(V50=1,-1,R50)</f>
        <v>1</v>
      </c>
      <c r="Y50" t="str">
        <f>IF(V50=1,"",IF(AND(MOD(W50,3)=0,U50=INT(($Q$9-1)/2)),INDEX($B$5:$M$5,W50+1),""))</f>
        <v/>
      </c>
      <c r="Z50">
        <f>IF(OR(V50=1),NA(),0+(INDEX($B$6:$M$25,($Q$3-1-0)*$Q$4+X50+1,0*$Q$5+W50+1)-$Q$17)/$Q$19*$Q$13)</f>
        <v>0.42847733333333327</v>
      </c>
      <c r="AA50">
        <f>IF(OR(V50=1),NA(),1+(INDEX($B$6:$M$25,($Q$3-1-1)*$Q$4+X50+1,0*$Q$5+W50+1)-$Q$17)/$Q$19*$Q$13)</f>
        <v>1.6819666666666666</v>
      </c>
      <c r="AB50">
        <f>IF(OR(V50=1),NA(),2+(INDEX($B$6:$M$25,($Q$3-1-2)*$Q$4+X50+1,0*$Q$5+W50+1)-$Q$17)/$Q$19*$Q$13)</f>
        <v>2.4236666666666666</v>
      </c>
      <c r="AC50">
        <f>IF(OR(V50=1),NA(),3+(INDEX($B$6:$M$25,($Q$3-1-3)*$Q$4+X50+1,0*$Q$5+W50+1)-$Q$17)/$Q$19*$Q$13)</f>
        <v>3.5788106666666666</v>
      </c>
      <c r="AD50">
        <f>IF(OR(V50=1),NA(),4+(INDEX($B$6:$M$25,($Q$3-1-4)*$Q$4+X50+1,0*$Q$5+W50+1)-$Q$17)/$Q$19*$Q$13)</f>
        <v>4.4188559999999999</v>
      </c>
      <c r="AL50">
        <v>15.5</v>
      </c>
      <c r="AM50" t="e">
        <f>NA()</f>
        <v>#N/A</v>
      </c>
    </row>
    <row r="51" spans="16:39" x14ac:dyDescent="0.35">
      <c r="P51">
        <v>28</v>
      </c>
      <c r="Q51">
        <f>P51-$Q$12</f>
        <v>25</v>
      </c>
      <c r="R51">
        <f>IF(Q51&lt;=0,-1,INT((Q51-1)/($Q$10+$Q$11)))</f>
        <v>1</v>
      </c>
      <c r="S51">
        <f>IF(Q51&lt;=0,-1,MOD(Q51-1,($Q$10+$Q$11)))</f>
        <v>11</v>
      </c>
      <c r="T51">
        <f>IF(OR(S51&lt;0,S51&gt;=$Q$10),-1,INT(S51/$Q$9))</f>
        <v>11</v>
      </c>
      <c r="U51">
        <f>IF(OR(S51&lt;0,S51&gt;=$Q$10),-1,MOD(S51,$Q$9))</f>
        <v>0</v>
      </c>
      <c r="V51">
        <f>IF(OR(Q51&lt;=0,S51&lt;0,S51&gt;=$Q$10,R51&gt;=$Q$7),1,0)</f>
        <v>0</v>
      </c>
      <c r="W51">
        <f>IF(V51=1,-1,T51)</f>
        <v>11</v>
      </c>
      <c r="X51">
        <f>IF(V51=1,-1,R51)</f>
        <v>1</v>
      </c>
      <c r="Y51" t="str">
        <f>IF(V51=1,"",IF(AND(MOD(W51,3)=0,U51=INT(($Q$9-1)/2)),INDEX($B$5:$M$5,W51+1),""))</f>
        <v/>
      </c>
      <c r="Z51">
        <f>IF(OR(V51=1),NA(),0+(INDEX($B$6:$M$25,($Q$3-1-0)*$Q$4+X51+1,0*$Q$5+W51+1)-$Q$17)/$Q$19*$Q$13)</f>
        <v>0.47046133333333329</v>
      </c>
      <c r="AA51">
        <f>IF(OR(V51=1),NA(),1+(INDEX($B$6:$M$25,($Q$3-1-1)*$Q$4+X51+1,0*$Q$5+W51+1)-$Q$17)/$Q$19*$Q$13)</f>
        <v>1.6293226666666667</v>
      </c>
      <c r="AB51">
        <f>IF(OR(V51=1),NA(),2+(INDEX($B$6:$M$25,($Q$3-1-2)*$Q$4+X51+1,0*$Q$5+W51+1)-$Q$17)/$Q$19*$Q$13)</f>
        <v>2.4649399999999999</v>
      </c>
      <c r="AC51">
        <f>IF(OR(V51=1),NA(),3+(INDEX($B$6:$M$25,($Q$3-1-3)*$Q$4+X51+1,0*$Q$5+W51+1)-$Q$17)/$Q$19*$Q$13)</f>
        <v>3.6238013333333332</v>
      </c>
      <c r="AD51">
        <f>IF(OR(V51=1),NA(),4+(INDEX($B$6:$M$25,($Q$3-1-4)*$Q$4+X51+1,0*$Q$5+W51+1)-$Q$17)/$Q$19*$Q$13)</f>
        <v>4.3610186666666664</v>
      </c>
      <c r="AL51">
        <v>16.5</v>
      </c>
      <c r="AM51">
        <f>IF(OR($Q$17&gt;0,$Q$18&lt;0),NA(),2+$Q$20)</f>
        <v>2</v>
      </c>
    </row>
    <row r="52" spans="16:39" x14ac:dyDescent="0.35">
      <c r="P52">
        <v>29</v>
      </c>
      <c r="Q52">
        <f>P52-$Q$12</f>
        <v>26</v>
      </c>
      <c r="R52">
        <f>IF(Q52&lt;=0,-1,INT((Q52-1)/($Q$10+$Q$11)))</f>
        <v>1</v>
      </c>
      <c r="S52">
        <f>IF(Q52&lt;=0,-1,MOD(Q52-1,($Q$10+$Q$11)))</f>
        <v>12</v>
      </c>
      <c r="T52">
        <f>IF(OR(S52&lt;0,S52&gt;=$Q$10),-1,INT(S52/$Q$9))</f>
        <v>-1</v>
      </c>
      <c r="U52">
        <f>IF(OR(S52&lt;0,S52&gt;=$Q$10),-1,MOD(S52,$Q$9))</f>
        <v>-1</v>
      </c>
      <c r="V52">
        <f>IF(OR(Q52&lt;=0,S52&lt;0,S52&gt;=$Q$10,R52&gt;=$Q$7),1,0)</f>
        <v>1</v>
      </c>
      <c r="W52">
        <f>IF(V52=1,-1,T52)</f>
        <v>-1</v>
      </c>
      <c r="X52">
        <f>IF(V52=1,-1,R52)</f>
        <v>-1</v>
      </c>
      <c r="Y52" t="str">
        <f>IF(V52=1,"",IF(AND(MOD(W52,3)=0,U52=INT(($Q$9-1)/2)),INDEX($B$5:$M$5,W52+1),""))</f>
        <v/>
      </c>
      <c r="Z52" t="e">
        <f>IF(OR(V52=1),NA(),0+(INDEX($B$6:$M$25,($Q$3-1-0)*$Q$4+X52+1,0*$Q$5+W52+1)-$Q$17)/$Q$19*$Q$13)</f>
        <v>#N/A</v>
      </c>
      <c r="AA52" t="e">
        <f>IF(OR(V52=1),NA(),1+(INDEX($B$6:$M$25,($Q$3-1-1)*$Q$4+X52+1,0*$Q$5+W52+1)-$Q$17)/$Q$19*$Q$13)</f>
        <v>#N/A</v>
      </c>
      <c r="AB52" t="e">
        <f>IF(OR(V52=1),NA(),2+(INDEX($B$6:$M$25,($Q$3-1-2)*$Q$4+X52+1,0*$Q$5+W52+1)-$Q$17)/$Q$19*$Q$13)</f>
        <v>#N/A</v>
      </c>
      <c r="AC52" t="e">
        <f>IF(OR(V52=1),NA(),3+(INDEX($B$6:$M$25,($Q$3-1-3)*$Q$4+X52+1,0*$Q$5+W52+1)-$Q$17)/$Q$19*$Q$13)</f>
        <v>#N/A</v>
      </c>
      <c r="AD52" t="e">
        <f>IF(OR(V52=1),NA(),4+(INDEX($B$6:$M$25,($Q$3-1-4)*$Q$4+X52+1,0*$Q$5+W52+1)-$Q$17)/$Q$19*$Q$13)</f>
        <v>#N/A</v>
      </c>
      <c r="AL52">
        <v>28.5</v>
      </c>
      <c r="AM52">
        <f>IF(OR($Q$17&gt;0,$Q$18&lt;0),NA(),2+$Q$20)</f>
        <v>2</v>
      </c>
    </row>
    <row r="53" spans="16:39" x14ac:dyDescent="0.35">
      <c r="P53">
        <v>30</v>
      </c>
      <c r="Q53">
        <f>P53-$Q$12</f>
        <v>27</v>
      </c>
      <c r="R53">
        <f>IF(Q53&lt;=0,-1,INT((Q53-1)/($Q$10+$Q$11)))</f>
        <v>2</v>
      </c>
      <c r="S53">
        <f>IF(Q53&lt;=0,-1,MOD(Q53-1,($Q$10+$Q$11)))</f>
        <v>0</v>
      </c>
      <c r="T53">
        <f>IF(OR(S53&lt;0,S53&gt;=$Q$10),-1,INT(S53/$Q$9))</f>
        <v>0</v>
      </c>
      <c r="U53">
        <f>IF(OR(S53&lt;0,S53&gt;=$Q$10),-1,MOD(S53,$Q$9))</f>
        <v>0</v>
      </c>
      <c r="V53">
        <f>IF(OR(Q53&lt;=0,S53&lt;0,S53&gt;=$Q$10,R53&gt;=$Q$7),1,0)</f>
        <v>0</v>
      </c>
      <c r="W53">
        <f>IF(V53=1,-1,T53)</f>
        <v>0</v>
      </c>
      <c r="X53">
        <f>IF(V53=1,-1,R53)</f>
        <v>2</v>
      </c>
      <c r="Y53" t="str">
        <f>IF(V53=1,"",IF(AND(MOD(W53,3)=0,U53=INT(($Q$9-1)/2)),INDEX($B$5:$M$5,W53+1),""))</f>
        <v>Jan</v>
      </c>
      <c r="Z53">
        <f>IF(OR(V53=1),NA(),0+(INDEX($B$6:$M$25,($Q$3-1-0)*$Q$4+X53+1,0*$Q$5+W53+1)-$Q$17)/$Q$19*$Q$13)</f>
        <v>0.21593333333333331</v>
      </c>
      <c r="AA53">
        <f>IF(OR(V53=1),NA(),1+(INDEX($B$6:$M$25,($Q$3-1-1)*$Q$4+X53+1,0*$Q$5+W53+1)-$Q$17)/$Q$19*$Q$13)</f>
        <v>1.4318666666666666</v>
      </c>
      <c r="AB53">
        <f>IF(OR(V53=1),NA(),2+(INDEX($B$6:$M$25,($Q$3-1-2)*$Q$4+X53+1,0*$Q$5+W53+1)-$Q$17)/$Q$19*$Q$13)</f>
        <v>2.2186666666666666</v>
      </c>
      <c r="AC53">
        <f>IF(OR(V53=1),NA(),3+(INDEX($B$6:$M$25,($Q$3-1-3)*$Q$4+X53+1,0*$Q$5+W53+1)-$Q$17)/$Q$19*$Q$13)</f>
        <v>3.3361999999999998</v>
      </c>
      <c r="AD53">
        <f>IF(OR(V53=1),NA(),4+(INDEX($B$6:$M$25,($Q$3-1-4)*$Q$4+X53+1,0*$Q$5+W53+1)-$Q$17)/$Q$19*$Q$13)</f>
        <v>4.5521333333333329</v>
      </c>
      <c r="AL53">
        <v>28.5</v>
      </c>
      <c r="AM53" t="e">
        <f>NA()</f>
        <v>#N/A</v>
      </c>
    </row>
    <row r="54" spans="16:39" x14ac:dyDescent="0.35">
      <c r="P54">
        <v>31</v>
      </c>
      <c r="Q54">
        <f>P54-$Q$12</f>
        <v>28</v>
      </c>
      <c r="R54">
        <f>IF(Q54&lt;=0,-1,INT((Q54-1)/($Q$10+$Q$11)))</f>
        <v>2</v>
      </c>
      <c r="S54">
        <f>IF(Q54&lt;=0,-1,MOD(Q54-1,($Q$10+$Q$11)))</f>
        <v>1</v>
      </c>
      <c r="T54">
        <f>IF(OR(S54&lt;0,S54&gt;=$Q$10),-1,INT(S54/$Q$9))</f>
        <v>1</v>
      </c>
      <c r="U54">
        <f>IF(OR(S54&lt;0,S54&gt;=$Q$10),-1,MOD(S54,$Q$9))</f>
        <v>0</v>
      </c>
      <c r="V54">
        <f>IF(OR(Q54&lt;=0,S54&lt;0,S54&gt;=$Q$10,R54&gt;=$Q$7),1,0)</f>
        <v>0</v>
      </c>
      <c r="W54">
        <f>IF(V54=1,-1,T54)</f>
        <v>1</v>
      </c>
      <c r="X54">
        <f>IF(V54=1,-1,R54)</f>
        <v>2</v>
      </c>
      <c r="Y54" t="str">
        <f>IF(V54=1,"",IF(AND(MOD(W54,3)=0,U54=INT(($Q$9-1)/2)),INDEX($B$5:$M$5,W54+1),""))</f>
        <v/>
      </c>
      <c r="Z54">
        <f>IF(OR(V54=1),NA(),0+(INDEX($B$6:$M$25,($Q$3-1-0)*$Q$4+X54+1,0*$Q$5+W54+1)-$Q$17)/$Q$19*$Q$13)</f>
        <v>0.25496533333333332</v>
      </c>
      <c r="AA54">
        <f>IF(OR(V54=1),NA(),1+(INDEX($B$6:$M$25,($Q$3-1-1)*$Q$4+X54+1,0*$Q$5+W54+1)-$Q$17)/$Q$19*$Q$13)</f>
        <v>1.3762159999999999</v>
      </c>
      <c r="AB54">
        <f>IF(OR(V54=1),NA(),2+(INDEX($B$6:$M$25,($Q$3-1-2)*$Q$4+X54+1,0*$Q$5+W54+1)-$Q$17)/$Q$19*$Q$13)</f>
        <v>2.2569333333333335</v>
      </c>
      <c r="AC54">
        <f>IF(OR(V54=1),NA(),3+(INDEX($B$6:$M$25,($Q$3-1-3)*$Q$4+X54+1,0*$Q$5+W54+1)-$Q$17)/$Q$19*$Q$13)</f>
        <v>3.3782386666666664</v>
      </c>
      <c r="AD54">
        <f>IF(OR(V54=1),NA(),4+(INDEX($B$6:$M$25,($Q$3-1-4)*$Q$4+X54+1,0*$Q$5+W54+1)-$Q$17)/$Q$19*$Q$13)</f>
        <v>4.499489333333333</v>
      </c>
      <c r="AL54">
        <v>29.5</v>
      </c>
      <c r="AM54">
        <f>IF(OR($Q$17&gt;0,$Q$18&lt;0),NA(),2+$Q$20)</f>
        <v>2</v>
      </c>
    </row>
    <row r="55" spans="16:39" x14ac:dyDescent="0.35">
      <c r="P55">
        <v>32</v>
      </c>
      <c r="Q55">
        <f>P55-$Q$12</f>
        <v>29</v>
      </c>
      <c r="R55">
        <f>IF(Q55&lt;=0,-1,INT((Q55-1)/($Q$10+$Q$11)))</f>
        <v>2</v>
      </c>
      <c r="S55">
        <f>IF(Q55&lt;=0,-1,MOD(Q55-1,($Q$10+$Q$11)))</f>
        <v>2</v>
      </c>
      <c r="T55">
        <f>IF(OR(S55&lt;0,S55&gt;=$Q$10),-1,INT(S55/$Q$9))</f>
        <v>2</v>
      </c>
      <c r="U55">
        <f>IF(OR(S55&lt;0,S55&gt;=$Q$10),-1,MOD(S55,$Q$9))</f>
        <v>0</v>
      </c>
      <c r="V55">
        <f>IF(OR(Q55&lt;=0,S55&lt;0,S55&gt;=$Q$10,R55&gt;=$Q$7),1,0)</f>
        <v>0</v>
      </c>
      <c r="W55">
        <f>IF(V55=1,-1,T55)</f>
        <v>2</v>
      </c>
      <c r="X55">
        <f>IF(V55=1,-1,R55)</f>
        <v>2</v>
      </c>
      <c r="Y55" t="str">
        <f>IF(V55=1,"",IF(AND(MOD(W55,3)=0,U55=INT(($Q$9-1)/2)),INDEX($B$5:$M$5,W55+1),""))</f>
        <v/>
      </c>
      <c r="Z55">
        <f>IF(OR(V55=1),NA(),0+(INDEX($B$6:$M$25,($Q$3-1-0)*$Q$4+X55+1,0*$Q$5+W55+1)-$Q$17)/$Q$19*$Q$13)</f>
        <v>0.29399733333333328</v>
      </c>
      <c r="AA55">
        <f>IF(OR(V55=1),NA(),1+(INDEX($B$6:$M$25,($Q$3-1-1)*$Q$4+X55+1,0*$Q$5+W55+1)-$Q$17)/$Q$19*$Q$13)</f>
        <v>1.4190199999999999</v>
      </c>
      <c r="AB55">
        <f>IF(OR(V55=1),NA(),2+(INDEX($B$6:$M$25,($Q$3-1-2)*$Q$4+X55+1,0*$Q$5+W55+1)-$Q$17)/$Q$19*$Q$13)</f>
        <v>2.1968000000000001</v>
      </c>
      <c r="AC55">
        <f>IF(OR(V55=1),NA(),3+(INDEX($B$6:$M$25,($Q$3-1-3)*$Q$4+X55+1,0*$Q$5+W55+1)-$Q$17)/$Q$19*$Q$13)</f>
        <v>3.4202773333333334</v>
      </c>
      <c r="AD55">
        <f>IF(OR(V55=1),NA(),4+(INDEX($B$6:$M$25,($Q$3-1-4)*$Q$4+X55+1,0*$Q$5+W55+1)-$Q$17)/$Q$19*$Q$13)</f>
        <v>4.5453000000000001</v>
      </c>
      <c r="AL55">
        <v>41.5</v>
      </c>
      <c r="AM55">
        <f>IF(OR($Q$17&gt;0,$Q$18&lt;0),NA(),2+$Q$20)</f>
        <v>2</v>
      </c>
    </row>
    <row r="56" spans="16:39" x14ac:dyDescent="0.35">
      <c r="P56">
        <v>33</v>
      </c>
      <c r="Q56">
        <f>P56-$Q$12</f>
        <v>30</v>
      </c>
      <c r="R56">
        <f>IF(Q56&lt;=0,-1,INT((Q56-1)/($Q$10+$Q$11)))</f>
        <v>2</v>
      </c>
      <c r="S56">
        <f>IF(Q56&lt;=0,-1,MOD(Q56-1,($Q$10+$Q$11)))</f>
        <v>3</v>
      </c>
      <c r="T56">
        <f>IF(OR(S56&lt;0,S56&gt;=$Q$10),-1,INT(S56/$Q$9))</f>
        <v>3</v>
      </c>
      <c r="U56">
        <f>IF(OR(S56&lt;0,S56&gt;=$Q$10),-1,MOD(S56,$Q$9))</f>
        <v>0</v>
      </c>
      <c r="V56">
        <f>IF(OR(Q56&lt;=0,S56&lt;0,S56&gt;=$Q$10,R56&gt;=$Q$7),1,0)</f>
        <v>0</v>
      </c>
      <c r="W56">
        <f>IF(V56=1,-1,T56)</f>
        <v>3</v>
      </c>
      <c r="X56">
        <f>IF(V56=1,-1,R56)</f>
        <v>2</v>
      </c>
      <c r="Y56" t="str">
        <f>IF(V56=1,"",IF(AND(MOD(W56,3)=0,U56=INT(($Q$9-1)/2)),INDEX($B$5:$M$5,W56+1),""))</f>
        <v>Apr</v>
      </c>
      <c r="Z56">
        <f>IF(OR(V56=1),NA(),0+(INDEX($B$6:$M$25,($Q$3-1-0)*$Q$4+X56+1,0*$Q$5+W56+1)-$Q$17)/$Q$19*$Q$13)</f>
        <v>0.23457466666666668</v>
      </c>
      <c r="AA56">
        <f>IF(OR(V56=1),NA(),1+(INDEX($B$6:$M$25,($Q$3-1-1)*$Q$4+X56+1,0*$Q$5+W56+1)-$Q$17)/$Q$19*$Q$13)</f>
        <v>1.461824</v>
      </c>
      <c r="AB56">
        <f>IF(OR(V56=1),NA(),2+(INDEX($B$6:$M$25,($Q$3-1-2)*$Q$4+X56+1,0*$Q$5+W56+1)-$Q$17)/$Q$19*$Q$13)</f>
        <v>2.2350666666666665</v>
      </c>
      <c r="AC56">
        <f>IF(OR(V56=1),NA(),3+(INDEX($B$6:$M$25,($Q$3-1-3)*$Q$4+X56+1,0*$Q$5+W56+1)-$Q$17)/$Q$19*$Q$13)</f>
        <v>3.3638613333333334</v>
      </c>
      <c r="AD56">
        <f>IF(OR(V56=1),NA(),4+(INDEX($B$6:$M$25,($Q$3-1-4)*$Q$4+X56+1,0*$Q$5+W56+1)-$Q$17)/$Q$19*$Q$13)</f>
        <v>4.591056</v>
      </c>
      <c r="AL56">
        <v>41.5</v>
      </c>
      <c r="AM56" t="e">
        <f>NA()</f>
        <v>#N/A</v>
      </c>
    </row>
    <row r="57" spans="16:39" x14ac:dyDescent="0.35">
      <c r="P57">
        <v>34</v>
      </c>
      <c r="Q57">
        <f>P57-$Q$12</f>
        <v>31</v>
      </c>
      <c r="R57">
        <f>IF(Q57&lt;=0,-1,INT((Q57-1)/($Q$10+$Q$11)))</f>
        <v>2</v>
      </c>
      <c r="S57">
        <f>IF(Q57&lt;=0,-1,MOD(Q57-1,($Q$10+$Q$11)))</f>
        <v>4</v>
      </c>
      <c r="T57">
        <f>IF(OR(S57&lt;0,S57&gt;=$Q$10),-1,INT(S57/$Q$9))</f>
        <v>4</v>
      </c>
      <c r="U57">
        <f>IF(OR(S57&lt;0,S57&gt;=$Q$10),-1,MOD(S57,$Q$9))</f>
        <v>0</v>
      </c>
      <c r="V57">
        <f>IF(OR(Q57&lt;=0,S57&lt;0,S57&gt;=$Q$10,R57&gt;=$Q$7),1,0)</f>
        <v>0</v>
      </c>
      <c r="W57">
        <f>IF(V57=1,-1,T57)</f>
        <v>4</v>
      </c>
      <c r="X57">
        <f>IF(V57=1,-1,R57)</f>
        <v>2</v>
      </c>
      <c r="Y57" t="str">
        <f>IF(V57=1,"",IF(AND(MOD(W57,3)=0,U57=INT(($Q$9-1)/2)),INDEX($B$5:$M$5,W57+1),""))</f>
        <v/>
      </c>
      <c r="Z57">
        <f>IF(OR(V57=1),NA(),0+(INDEX($B$6:$M$25,($Q$3-1-0)*$Q$4+X57+1,0*$Q$5+W57+1)-$Q$17)/$Q$19*$Q$13)</f>
        <v>0.27360666666666666</v>
      </c>
      <c r="AA57">
        <f>IF(OR(V57=1),NA(),1+(INDEX($B$6:$M$25,($Q$3-1-1)*$Q$4+X57+1,0*$Q$5+W57+1)-$Q$17)/$Q$19*$Q$13)</f>
        <v>1.4061733333333333</v>
      </c>
      <c r="AB57">
        <f>IF(OR(V57=1),NA(),2+(INDEX($B$6:$M$25,($Q$3-1-2)*$Q$4+X57+1,0*$Q$5+W57+1)-$Q$17)/$Q$19*$Q$13)</f>
        <v>2.2733333333333334</v>
      </c>
      <c r="AC57">
        <f>IF(OR(V57=1),NA(),3+(INDEX($B$6:$M$25,($Q$3-1-3)*$Q$4+X57+1,0*$Q$5+W57+1)-$Q$17)/$Q$19*$Q$13)</f>
        <v>3.4058999999999999</v>
      </c>
      <c r="AD57">
        <f>IF(OR(V57=1),NA(),4+(INDEX($B$6:$M$25,($Q$3-1-4)*$Q$4+X57+1,0*$Q$5+W57+1)-$Q$17)/$Q$19*$Q$13)</f>
        <v>4.5384666666666664</v>
      </c>
      <c r="AL57">
        <v>42.5</v>
      </c>
      <c r="AM57">
        <f>IF(OR($Q$17&gt;0,$Q$18&lt;0),NA(),2+$Q$20)</f>
        <v>2</v>
      </c>
    </row>
    <row r="58" spans="16:39" x14ac:dyDescent="0.35">
      <c r="P58">
        <v>35</v>
      </c>
      <c r="Q58">
        <f>P58-$Q$12</f>
        <v>32</v>
      </c>
      <c r="R58">
        <f>IF(Q58&lt;=0,-1,INT((Q58-1)/($Q$10+$Q$11)))</f>
        <v>2</v>
      </c>
      <c r="S58">
        <f>IF(Q58&lt;=0,-1,MOD(Q58-1,($Q$10+$Q$11)))</f>
        <v>5</v>
      </c>
      <c r="T58">
        <f>IF(OR(S58&lt;0,S58&gt;=$Q$10),-1,INT(S58/$Q$9))</f>
        <v>5</v>
      </c>
      <c r="U58">
        <f>IF(OR(S58&lt;0,S58&gt;=$Q$10),-1,MOD(S58,$Q$9))</f>
        <v>0</v>
      </c>
      <c r="V58">
        <f>IF(OR(Q58&lt;=0,S58&lt;0,S58&gt;=$Q$10,R58&gt;=$Q$7),1,0)</f>
        <v>0</v>
      </c>
      <c r="W58">
        <f>IF(V58=1,-1,T58)</f>
        <v>5</v>
      </c>
      <c r="X58">
        <f>IF(V58=1,-1,R58)</f>
        <v>2</v>
      </c>
      <c r="Y58" t="str">
        <f>IF(V58=1,"",IF(AND(MOD(W58,3)=0,U58=INT(($Q$9-1)/2)),INDEX($B$5:$M$5,W58+1),""))</f>
        <v/>
      </c>
      <c r="Z58">
        <f>IF(OR(V58=1),NA(),0+(INDEX($B$6:$M$25,($Q$3-1-0)*$Q$4+X58+1,0*$Q$5+W58+1)-$Q$17)/$Q$19*$Q$13)</f>
        <v>0.31263866666666662</v>
      </c>
      <c r="AA58">
        <f>IF(OR(V58=1),NA(),1+(INDEX($B$6:$M$25,($Q$3-1-1)*$Q$4+X58+1,0*$Q$5+W58+1)-$Q$17)/$Q$19*$Q$13)</f>
        <v>1.4489226666666666</v>
      </c>
      <c r="AB58">
        <f>IF(OR(V58=1),NA(),2+(INDEX($B$6:$M$25,($Q$3-1-2)*$Q$4+X58+1,0*$Q$5+W58+1)-$Q$17)/$Q$19*$Q$13)</f>
        <v>2.2132000000000001</v>
      </c>
      <c r="AC58">
        <f>IF(OR(V58=1),NA(),3+(INDEX($B$6:$M$25,($Q$3-1-3)*$Q$4+X58+1,0*$Q$5+W58+1)-$Q$17)/$Q$19*$Q$13)</f>
        <v>3.4479386666666665</v>
      </c>
      <c r="AD58">
        <f>IF(OR(V58=1),NA(),4+(INDEX($B$6:$M$25,($Q$3-1-4)*$Q$4+X58+1,0*$Q$5+W58+1)-$Q$17)/$Q$19*$Q$13)</f>
        <v>4.5842773333333335</v>
      </c>
      <c r="AL58">
        <v>54.5</v>
      </c>
      <c r="AM58">
        <f>IF(OR($Q$17&gt;0,$Q$18&lt;0),NA(),2+$Q$20)</f>
        <v>2</v>
      </c>
    </row>
    <row r="59" spans="16:39" x14ac:dyDescent="0.35">
      <c r="P59">
        <v>36</v>
      </c>
      <c r="Q59">
        <f>P59-$Q$12</f>
        <v>33</v>
      </c>
      <c r="R59">
        <f>IF(Q59&lt;=0,-1,INT((Q59-1)/($Q$10+$Q$11)))</f>
        <v>2</v>
      </c>
      <c r="S59">
        <f>IF(Q59&lt;=0,-1,MOD(Q59-1,($Q$10+$Q$11)))</f>
        <v>6</v>
      </c>
      <c r="T59">
        <f>IF(OR(S59&lt;0,S59&gt;=$Q$10),-1,INT(S59/$Q$9))</f>
        <v>6</v>
      </c>
      <c r="U59">
        <f>IF(OR(S59&lt;0,S59&gt;=$Q$10),-1,MOD(S59,$Q$9))</f>
        <v>0</v>
      </c>
      <c r="V59">
        <f>IF(OR(Q59&lt;=0,S59&lt;0,S59&gt;=$Q$10,R59&gt;=$Q$7),1,0)</f>
        <v>0</v>
      </c>
      <c r="W59">
        <f>IF(V59=1,-1,T59)</f>
        <v>6</v>
      </c>
      <c r="X59">
        <f>IF(V59=1,-1,R59)</f>
        <v>2</v>
      </c>
      <c r="Y59" t="str">
        <f>IF(V59=1,"",IF(AND(MOD(W59,3)=0,U59=INT(($Q$9-1)/2)),INDEX($B$5:$M$5,W59+1),""))</f>
        <v>Jul</v>
      </c>
      <c r="Z59">
        <f>IF(OR(V59=1),NA(),0+(INDEX($B$6:$M$25,($Q$3-1-0)*$Q$4+X59+1,0*$Q$5+W59+1)-$Q$17)/$Q$19*$Q$13)</f>
        <v>0.253216</v>
      </c>
      <c r="AA59">
        <f>IF(OR(V59=1),NA(),1+(INDEX($B$6:$M$25,($Q$3-1-1)*$Q$4+X59+1,0*$Q$5+W59+1)-$Q$17)/$Q$19*$Q$13)</f>
        <v>1.4917266666666666</v>
      </c>
      <c r="AB59">
        <f>IF(OR(V59=1),NA(),2+(INDEX($B$6:$M$25,($Q$3-1-2)*$Q$4+X59+1,0*$Q$5+W59+1)-$Q$17)/$Q$19*$Q$13)</f>
        <v>2.2514666666666665</v>
      </c>
      <c r="AC59">
        <f>IF(OR(V59=1),NA(),3+(INDEX($B$6:$M$25,($Q$3-1-3)*$Q$4+X59+1,0*$Q$5+W59+1)-$Q$17)/$Q$19*$Q$13)</f>
        <v>3.3915226666666669</v>
      </c>
      <c r="AD59">
        <f>IF(OR(V59=1),NA(),4+(INDEX($B$6:$M$25,($Q$3-1-4)*$Q$4+X59+1,0*$Q$5+W59+1)-$Q$17)/$Q$19*$Q$13)</f>
        <v>4.6300333333333334</v>
      </c>
      <c r="AL59">
        <v>54.5</v>
      </c>
      <c r="AM59" t="e">
        <f>NA()</f>
        <v>#N/A</v>
      </c>
    </row>
    <row r="60" spans="16:39" x14ac:dyDescent="0.35">
      <c r="P60">
        <v>37</v>
      </c>
      <c r="Q60">
        <f>P60-$Q$12</f>
        <v>34</v>
      </c>
      <c r="R60">
        <f>IF(Q60&lt;=0,-1,INT((Q60-1)/($Q$10+$Q$11)))</f>
        <v>2</v>
      </c>
      <c r="S60">
        <f>IF(Q60&lt;=0,-1,MOD(Q60-1,($Q$10+$Q$11)))</f>
        <v>7</v>
      </c>
      <c r="T60">
        <f>IF(OR(S60&lt;0,S60&gt;=$Q$10),-1,INT(S60/$Q$9))</f>
        <v>7</v>
      </c>
      <c r="U60">
        <f>IF(OR(S60&lt;0,S60&gt;=$Q$10),-1,MOD(S60,$Q$9))</f>
        <v>0</v>
      </c>
      <c r="V60">
        <f>IF(OR(Q60&lt;=0,S60&lt;0,S60&gt;=$Q$10,R60&gt;=$Q$7),1,0)</f>
        <v>0</v>
      </c>
      <c r="W60">
        <f>IF(V60=1,-1,T60)</f>
        <v>7</v>
      </c>
      <c r="X60">
        <f>IF(V60=1,-1,R60)</f>
        <v>2</v>
      </c>
      <c r="Y60" t="str">
        <f>IF(V60=1,"",IF(AND(MOD(W60,3)=0,U60=INT(($Q$9-1)/2)),INDEX($B$5:$M$5,W60+1),""))</f>
        <v/>
      </c>
      <c r="Z60">
        <f>IF(OR(V60=1),NA(),0+(INDEX($B$6:$M$25,($Q$3-1-0)*$Q$4+X60+1,0*$Q$5+W60+1)-$Q$17)/$Q$19*$Q$13)</f>
        <v>0.29224799999999995</v>
      </c>
      <c r="AA60">
        <f>IF(OR(V60=1),NA(),1+(INDEX($B$6:$M$25,($Q$3-1-1)*$Q$4+X60+1,0*$Q$5+W60+1)-$Q$17)/$Q$19*$Q$13)</f>
        <v>1.4361306666666667</v>
      </c>
      <c r="AB60">
        <f>IF(OR(V60=1),NA(),2+(INDEX($B$6:$M$25,($Q$3-1-2)*$Q$4+X60+1,0*$Q$5+W60+1)-$Q$17)/$Q$19*$Q$13)</f>
        <v>2.2897333333333334</v>
      </c>
      <c r="AC60">
        <f>IF(OR(V60=1),NA(),3+(INDEX($B$6:$M$25,($Q$3-1-3)*$Q$4+X60+1,0*$Q$5+W60+1)-$Q$17)/$Q$19*$Q$13)</f>
        <v>3.4335613333333335</v>
      </c>
      <c r="AD60">
        <f>IF(OR(V60=1),NA(),4+(INDEX($B$6:$M$25,($Q$3-1-4)*$Q$4+X60+1,0*$Q$5+W60+1)-$Q$17)/$Q$19*$Q$13)</f>
        <v>4.5773893333333335</v>
      </c>
      <c r="AL60">
        <v>3.5</v>
      </c>
      <c r="AM60">
        <f>IF(OR($Q$17&gt;0,$Q$18&lt;0),NA(),3+$Q$20)</f>
        <v>3</v>
      </c>
    </row>
    <row r="61" spans="16:39" x14ac:dyDescent="0.35">
      <c r="P61">
        <v>38</v>
      </c>
      <c r="Q61">
        <f>P61-$Q$12</f>
        <v>35</v>
      </c>
      <c r="R61">
        <f>IF(Q61&lt;=0,-1,INT((Q61-1)/($Q$10+$Q$11)))</f>
        <v>2</v>
      </c>
      <c r="S61">
        <f>IF(Q61&lt;=0,-1,MOD(Q61-1,($Q$10+$Q$11)))</f>
        <v>8</v>
      </c>
      <c r="T61">
        <f>IF(OR(S61&lt;0,S61&gt;=$Q$10),-1,INT(S61/$Q$9))</f>
        <v>8</v>
      </c>
      <c r="U61">
        <f>IF(OR(S61&lt;0,S61&gt;=$Q$10),-1,MOD(S61,$Q$9))</f>
        <v>0</v>
      </c>
      <c r="V61">
        <f>IF(OR(Q61&lt;=0,S61&lt;0,S61&gt;=$Q$10,R61&gt;=$Q$7),1,0)</f>
        <v>0</v>
      </c>
      <c r="W61">
        <f>IF(V61=1,-1,T61)</f>
        <v>8</v>
      </c>
      <c r="X61">
        <f>IF(V61=1,-1,R61)</f>
        <v>2</v>
      </c>
      <c r="Y61" t="str">
        <f>IF(V61=1,"",IF(AND(MOD(W61,3)=0,U61=INT(($Q$9-1)/2)),INDEX($B$5:$M$5,W61+1),""))</f>
        <v/>
      </c>
      <c r="Z61">
        <f>IF(OR(V61=1),NA(),0+(INDEX($B$6:$M$25,($Q$3-1-0)*$Q$4+X61+1,0*$Q$5+W61+1)-$Q$17)/$Q$19*$Q$13)</f>
        <v>0.33128000000000002</v>
      </c>
      <c r="AA61">
        <f>IF(OR(V61=1),NA(),1+(INDEX($B$6:$M$25,($Q$3-1-1)*$Q$4+X61+1,0*$Q$5+W61+1)-$Q$17)/$Q$19*$Q$13)</f>
        <v>1.47888</v>
      </c>
      <c r="AB61">
        <f>IF(OR(V61=1),NA(),2+(INDEX($B$6:$M$25,($Q$3-1-2)*$Q$4+X61+1,0*$Q$5+W61+1)-$Q$17)/$Q$19*$Q$13)</f>
        <v>2.2296</v>
      </c>
      <c r="AC61">
        <f>IF(OR(V61=1),NA(),3+(INDEX($B$6:$M$25,($Q$3-1-3)*$Q$4+X61+1,0*$Q$5+W61+1)-$Q$17)/$Q$19*$Q$13)</f>
        <v>3.4756</v>
      </c>
      <c r="AD61">
        <f>IF(OR(V61=1),NA(),4+(INDEX($B$6:$M$25,($Q$3-1-4)*$Q$4+X61+1,0*$Q$5+W61+1)-$Q$17)/$Q$19*$Q$13)</f>
        <v>4.6231999999999998</v>
      </c>
      <c r="AL61">
        <v>15.5</v>
      </c>
      <c r="AM61">
        <f>IF(OR($Q$17&gt;0,$Q$18&lt;0),NA(),3+$Q$20)</f>
        <v>3</v>
      </c>
    </row>
    <row r="62" spans="16:39" x14ac:dyDescent="0.35">
      <c r="P62">
        <v>39</v>
      </c>
      <c r="Q62">
        <f>P62-$Q$12</f>
        <v>36</v>
      </c>
      <c r="R62">
        <f>IF(Q62&lt;=0,-1,INT((Q62-1)/($Q$10+$Q$11)))</f>
        <v>2</v>
      </c>
      <c r="S62">
        <f>IF(Q62&lt;=0,-1,MOD(Q62-1,($Q$10+$Q$11)))</f>
        <v>9</v>
      </c>
      <c r="T62">
        <f>IF(OR(S62&lt;0,S62&gt;=$Q$10),-1,INT(S62/$Q$9))</f>
        <v>9</v>
      </c>
      <c r="U62">
        <f>IF(OR(S62&lt;0,S62&gt;=$Q$10),-1,MOD(S62,$Q$9))</f>
        <v>0</v>
      </c>
      <c r="V62">
        <f>IF(OR(Q62&lt;=0,S62&lt;0,S62&gt;=$Q$10,R62&gt;=$Q$7),1,0)</f>
        <v>0</v>
      </c>
      <c r="W62">
        <f>IF(V62=1,-1,T62)</f>
        <v>9</v>
      </c>
      <c r="X62">
        <f>IF(V62=1,-1,R62)</f>
        <v>2</v>
      </c>
      <c r="Y62" t="str">
        <f>IF(V62=1,"",IF(AND(MOD(W62,3)=0,U62=INT(($Q$9-1)/2)),INDEX($B$5:$M$5,W62+1),""))</f>
        <v>Oct</v>
      </c>
      <c r="Z62">
        <f>IF(OR(V62=1),NA(),0+(INDEX($B$6:$M$25,($Q$3-1-0)*$Q$4+X62+1,0*$Q$5+W62+1)-$Q$17)/$Q$19*$Q$13)</f>
        <v>0.27191199999999999</v>
      </c>
      <c r="AA62">
        <f>IF(OR(V62=1),NA(),1+(INDEX($B$6:$M$25,($Q$3-1-1)*$Q$4+X62+1,0*$Q$5+W62+1)-$Q$17)/$Q$19*$Q$13)</f>
        <v>1.521684</v>
      </c>
      <c r="AB62">
        <f>IF(OR(V62=1),NA(),2+(INDEX($B$6:$M$25,($Q$3-1-2)*$Q$4+X62+1,0*$Q$5+W62+1)-$Q$17)/$Q$19*$Q$13)</f>
        <v>2.2678666666666665</v>
      </c>
      <c r="AC62">
        <f>IF(OR(V62=1),NA(),3+(INDEX($B$6:$M$25,($Q$3-1-3)*$Q$4+X62+1,0*$Q$5+W62+1)-$Q$17)/$Q$19*$Q$13)</f>
        <v>3.4192386666666668</v>
      </c>
      <c r="AD62">
        <f>IF(OR(V62=1),NA(),4+(INDEX($B$6:$M$25,($Q$3-1-4)*$Q$4+X62+1,0*$Q$5+W62+1)-$Q$17)/$Q$19*$Q$13)</f>
        <v>4.6690106666666669</v>
      </c>
      <c r="AL62">
        <v>15.5</v>
      </c>
      <c r="AM62" t="e">
        <f>NA()</f>
        <v>#N/A</v>
      </c>
    </row>
    <row r="63" spans="16:39" x14ac:dyDescent="0.35">
      <c r="P63">
        <v>40</v>
      </c>
      <c r="Q63">
        <f>P63-$Q$12</f>
        <v>37</v>
      </c>
      <c r="R63">
        <f>IF(Q63&lt;=0,-1,INT((Q63-1)/($Q$10+$Q$11)))</f>
        <v>2</v>
      </c>
      <c r="S63">
        <f>IF(Q63&lt;=0,-1,MOD(Q63-1,($Q$10+$Q$11)))</f>
        <v>10</v>
      </c>
      <c r="T63">
        <f>IF(OR(S63&lt;0,S63&gt;=$Q$10),-1,INT(S63/$Q$9))</f>
        <v>10</v>
      </c>
      <c r="U63">
        <f>IF(OR(S63&lt;0,S63&gt;=$Q$10),-1,MOD(S63,$Q$9))</f>
        <v>0</v>
      </c>
      <c r="V63">
        <f>IF(OR(Q63&lt;=0,S63&lt;0,S63&gt;=$Q$10,R63&gt;=$Q$7),1,0)</f>
        <v>0</v>
      </c>
      <c r="W63">
        <f>IF(V63=1,-1,T63)</f>
        <v>10</v>
      </c>
      <c r="X63">
        <f>IF(V63=1,-1,R63)</f>
        <v>2</v>
      </c>
      <c r="Y63" t="str">
        <f>IF(V63=1,"",IF(AND(MOD(W63,3)=0,U63=INT(($Q$9-1)/2)),INDEX($B$5:$M$5,W63+1),""))</f>
        <v/>
      </c>
      <c r="Z63">
        <f>IF(OR(V63=1),NA(),0+(INDEX($B$6:$M$25,($Q$3-1-0)*$Q$4+X63+1,0*$Q$5+W63+1)-$Q$17)/$Q$19*$Q$13)</f>
        <v>0.31094399999999994</v>
      </c>
      <c r="AA63">
        <f>IF(OR(V63=1),NA(),1+(INDEX($B$6:$M$25,($Q$3-1-1)*$Q$4+X63+1,0*$Q$5+W63+1)-$Q$17)/$Q$19*$Q$13)</f>
        <v>1.4660333333333333</v>
      </c>
      <c r="AB63">
        <f>IF(OR(V63=1),NA(),2+(INDEX($B$6:$M$25,($Q$3-1-2)*$Q$4+X63+1,0*$Q$5+W63+1)-$Q$17)/$Q$19*$Q$13)</f>
        <v>2.3061333333333334</v>
      </c>
      <c r="AC63">
        <f>IF(OR(V63=1),NA(),3+(INDEX($B$6:$M$25,($Q$3-1-3)*$Q$4+X63+1,0*$Q$5+W63+1)-$Q$17)/$Q$19*$Q$13)</f>
        <v>3.4612773333333333</v>
      </c>
      <c r="AD63">
        <f>IF(OR(V63=1),NA(),4+(INDEX($B$6:$M$25,($Q$3-1-4)*$Q$4+X63+1,0*$Q$5+W63+1)-$Q$17)/$Q$19*$Q$13)</f>
        <v>4.616366666666667</v>
      </c>
      <c r="AL63">
        <v>16.5</v>
      </c>
      <c r="AM63">
        <f>IF(OR($Q$17&gt;0,$Q$18&lt;0),NA(),3+$Q$20)</f>
        <v>3</v>
      </c>
    </row>
    <row r="64" spans="16:39" x14ac:dyDescent="0.35">
      <c r="P64">
        <v>41</v>
      </c>
      <c r="Q64">
        <f>P64-$Q$12</f>
        <v>38</v>
      </c>
      <c r="R64">
        <f>IF(Q64&lt;=0,-1,INT((Q64-1)/($Q$10+$Q$11)))</f>
        <v>2</v>
      </c>
      <c r="S64">
        <f>IF(Q64&lt;=0,-1,MOD(Q64-1,($Q$10+$Q$11)))</f>
        <v>11</v>
      </c>
      <c r="T64">
        <f>IF(OR(S64&lt;0,S64&gt;=$Q$10),-1,INT(S64/$Q$9))</f>
        <v>11</v>
      </c>
      <c r="U64">
        <f>IF(OR(S64&lt;0,S64&gt;=$Q$10),-1,MOD(S64,$Q$9))</f>
        <v>0</v>
      </c>
      <c r="V64">
        <f>IF(OR(Q64&lt;=0,S64&lt;0,S64&gt;=$Q$10,R64&gt;=$Q$7),1,0)</f>
        <v>0</v>
      </c>
      <c r="W64">
        <f>IF(V64=1,-1,T64)</f>
        <v>11</v>
      </c>
      <c r="X64">
        <f>IF(V64=1,-1,R64)</f>
        <v>2</v>
      </c>
      <c r="Y64" t="str">
        <f>IF(V64=1,"",IF(AND(MOD(W64,3)=0,U64=INT(($Q$9-1)/2)),INDEX($B$5:$M$5,W64+1),""))</f>
        <v/>
      </c>
      <c r="Z64">
        <f>IF(OR(V64=1),NA(),0+(INDEX($B$6:$M$25,($Q$3-1-0)*$Q$4+X64+1,0*$Q$5+W64+1)-$Q$17)/$Q$19*$Q$13)</f>
        <v>0.34992133333333331</v>
      </c>
      <c r="AA64">
        <f>IF(OR(V64=1),NA(),1+(INDEX($B$6:$M$25,($Q$3-1-1)*$Q$4+X64+1,0*$Q$5+W64+1)-$Q$17)/$Q$19*$Q$13)</f>
        <v>1.5087826666666668</v>
      </c>
      <c r="AB64">
        <f>IF(OR(V64=1),NA(),2+(INDEX($B$6:$M$25,($Q$3-1-2)*$Q$4+X64+1,0*$Q$5+W64+1)-$Q$17)/$Q$19*$Q$13)</f>
        <v>2.246</v>
      </c>
      <c r="AC64">
        <f>IF(OR(V64=1),NA(),3+(INDEX($B$6:$M$25,($Q$3-1-3)*$Q$4+X64+1,0*$Q$5+W64+1)-$Q$17)/$Q$19*$Q$13)</f>
        <v>3.5032613333333336</v>
      </c>
      <c r="AD64">
        <f>IF(OR(V64=1),NA(),4+(INDEX($B$6:$M$25,($Q$3-1-4)*$Q$4+X64+1,0*$Q$5+W64+1)-$Q$17)/$Q$19*$Q$13)</f>
        <v>4.6621226666666669</v>
      </c>
      <c r="AL64">
        <v>28.5</v>
      </c>
      <c r="AM64">
        <f>IF(OR($Q$17&gt;0,$Q$18&lt;0),NA(),3+$Q$20)</f>
        <v>3</v>
      </c>
    </row>
    <row r="65" spans="16:39" x14ac:dyDescent="0.35">
      <c r="P65">
        <v>42</v>
      </c>
      <c r="Q65">
        <f>P65-$Q$12</f>
        <v>39</v>
      </c>
      <c r="R65">
        <f>IF(Q65&lt;=0,-1,INT((Q65-1)/($Q$10+$Q$11)))</f>
        <v>2</v>
      </c>
      <c r="S65">
        <f>IF(Q65&lt;=0,-1,MOD(Q65-1,($Q$10+$Q$11)))</f>
        <v>12</v>
      </c>
      <c r="T65">
        <f>IF(OR(S65&lt;0,S65&gt;=$Q$10),-1,INT(S65/$Q$9))</f>
        <v>-1</v>
      </c>
      <c r="U65">
        <f>IF(OR(S65&lt;0,S65&gt;=$Q$10),-1,MOD(S65,$Q$9))</f>
        <v>-1</v>
      </c>
      <c r="V65">
        <f>IF(OR(Q65&lt;=0,S65&lt;0,S65&gt;=$Q$10,R65&gt;=$Q$7),1,0)</f>
        <v>1</v>
      </c>
      <c r="W65">
        <f>IF(V65=1,-1,T65)</f>
        <v>-1</v>
      </c>
      <c r="X65">
        <f>IF(V65=1,-1,R65)</f>
        <v>-1</v>
      </c>
      <c r="Y65" t="str">
        <f>IF(V65=1,"",IF(AND(MOD(W65,3)=0,U65=INT(($Q$9-1)/2)),INDEX($B$5:$M$5,W65+1),""))</f>
        <v/>
      </c>
      <c r="Z65" t="e">
        <f>IF(OR(V65=1),NA(),0+(INDEX($B$6:$M$25,($Q$3-1-0)*$Q$4+X65+1,0*$Q$5+W65+1)-$Q$17)/$Q$19*$Q$13)</f>
        <v>#N/A</v>
      </c>
      <c r="AA65" t="e">
        <f>IF(OR(V65=1),NA(),1+(INDEX($B$6:$M$25,($Q$3-1-1)*$Q$4+X65+1,0*$Q$5+W65+1)-$Q$17)/$Q$19*$Q$13)</f>
        <v>#N/A</v>
      </c>
      <c r="AB65" t="e">
        <f>IF(OR(V65=1),NA(),2+(INDEX($B$6:$M$25,($Q$3-1-2)*$Q$4+X65+1,0*$Q$5+W65+1)-$Q$17)/$Q$19*$Q$13)</f>
        <v>#N/A</v>
      </c>
      <c r="AC65" t="e">
        <f>IF(OR(V65=1),NA(),3+(INDEX($B$6:$M$25,($Q$3-1-3)*$Q$4+X65+1,0*$Q$5+W65+1)-$Q$17)/$Q$19*$Q$13)</f>
        <v>#N/A</v>
      </c>
      <c r="AD65" t="e">
        <f>IF(OR(V65=1),NA(),4+(INDEX($B$6:$M$25,($Q$3-1-4)*$Q$4+X65+1,0*$Q$5+W65+1)-$Q$17)/$Q$19*$Q$13)</f>
        <v>#N/A</v>
      </c>
      <c r="AL65">
        <v>28.5</v>
      </c>
      <c r="AM65" t="e">
        <f>NA()</f>
        <v>#N/A</v>
      </c>
    </row>
    <row r="66" spans="16:39" x14ac:dyDescent="0.35">
      <c r="P66">
        <v>43</v>
      </c>
      <c r="Q66">
        <f>P66-$Q$12</f>
        <v>40</v>
      </c>
      <c r="R66">
        <f>IF(Q66&lt;=0,-1,INT((Q66-1)/($Q$10+$Q$11)))</f>
        <v>3</v>
      </c>
      <c r="S66">
        <f>IF(Q66&lt;=0,-1,MOD(Q66-1,($Q$10+$Q$11)))</f>
        <v>0</v>
      </c>
      <c r="T66">
        <f>IF(OR(S66&lt;0,S66&gt;=$Q$10),-1,INT(S66/$Q$9))</f>
        <v>0</v>
      </c>
      <c r="U66">
        <f>IF(OR(S66&lt;0,S66&gt;=$Q$10),-1,MOD(S66,$Q$9))</f>
        <v>0</v>
      </c>
      <c r="V66">
        <f>IF(OR(Q66&lt;=0,S66&lt;0,S66&gt;=$Q$10,R66&gt;=$Q$7),1,0)</f>
        <v>0</v>
      </c>
      <c r="W66">
        <f>IF(V66=1,-1,T66)</f>
        <v>0</v>
      </c>
      <c r="X66">
        <f>IF(V66=1,-1,R66)</f>
        <v>3</v>
      </c>
      <c r="Y66" t="str">
        <f>IF(V66=1,"",IF(AND(MOD(W66,3)=0,U66=INT(($Q$9-1)/2)),INDEX($B$5:$M$5,W66+1),""))</f>
        <v>Jan</v>
      </c>
      <c r="Z66">
        <f>IF(OR(V66=1),NA(),0+(INDEX($B$6:$M$25,($Q$3-1-0)*$Q$4+X66+1,0*$Q$5+W66+1)-$Q$17)/$Q$19*$Q$13)</f>
        <v>0.4592</v>
      </c>
      <c r="AA66">
        <f>IF(OR(V66=1),NA(),1+(INDEX($B$6:$M$25,($Q$3-1-1)*$Q$4+X66+1,0*$Q$5+W66+1)-$Q$17)/$Q$19*$Q$13)</f>
        <v>1.246</v>
      </c>
      <c r="AB66">
        <f>IF(OR(V66=1),NA(),2+(INDEX($B$6:$M$25,($Q$3-1-2)*$Q$4+X66+1,0*$Q$5+W66+1)-$Q$17)/$Q$19*$Q$13)</f>
        <v>2.4619333333333335</v>
      </c>
      <c r="AC66">
        <f>IF(OR(V66=1),NA(),3+(INDEX($B$6:$M$25,($Q$3-1-3)*$Q$4+X66+1,0*$Q$5+W66+1)-$Q$17)/$Q$19*$Q$13)</f>
        <v>3.2487333333333335</v>
      </c>
      <c r="AD66">
        <f>IF(OR(V66=1),NA(),4+(INDEX($B$6:$M$25,($Q$3-1-4)*$Q$4+X66+1,0*$Q$5+W66+1)-$Q$17)/$Q$19*$Q$13)</f>
        <v>4.3662666666666663</v>
      </c>
      <c r="AL66">
        <v>29.5</v>
      </c>
      <c r="AM66">
        <f>IF(OR($Q$17&gt;0,$Q$18&lt;0),NA(),3+$Q$20)</f>
        <v>3</v>
      </c>
    </row>
    <row r="67" spans="16:39" x14ac:dyDescent="0.35">
      <c r="P67">
        <v>44</v>
      </c>
      <c r="Q67">
        <f>P67-$Q$12</f>
        <v>41</v>
      </c>
      <c r="R67">
        <f>IF(Q67&lt;=0,-1,INT((Q67-1)/($Q$10+$Q$11)))</f>
        <v>3</v>
      </c>
      <c r="S67">
        <f>IF(Q67&lt;=0,-1,MOD(Q67-1,($Q$10+$Q$11)))</f>
        <v>1</v>
      </c>
      <c r="T67">
        <f>IF(OR(S67&lt;0,S67&gt;=$Q$10),-1,INT(S67/$Q$9))</f>
        <v>1</v>
      </c>
      <c r="U67">
        <f>IF(OR(S67&lt;0,S67&gt;=$Q$10),-1,MOD(S67,$Q$9))</f>
        <v>0</v>
      </c>
      <c r="V67">
        <f>IF(OR(Q67&lt;=0,S67&lt;0,S67&gt;=$Q$10,R67&gt;=$Q$7),1,0)</f>
        <v>0</v>
      </c>
      <c r="W67">
        <f>IF(V67=1,-1,T67)</f>
        <v>1</v>
      </c>
      <c r="X67">
        <f>IF(V67=1,-1,R67)</f>
        <v>3</v>
      </c>
      <c r="Y67" t="str">
        <f>IF(V67=1,"",IF(AND(MOD(W67,3)=0,U67=INT(($Q$9-1)/2)),INDEX($B$5:$M$5,W67+1),""))</f>
        <v/>
      </c>
      <c r="Z67">
        <f>IF(OR(V67=1),NA(),0+(INDEX($B$6:$M$25,($Q$3-1-0)*$Q$4+X67+1,0*$Q$5+W67+1)-$Q$17)/$Q$19*$Q$13)</f>
        <v>0.50347999999999993</v>
      </c>
      <c r="AA67">
        <f>IF(OR(V67=1),NA(),1+(INDEX($B$6:$M$25,($Q$3-1-1)*$Q$4+X67+1,0*$Q$5+W67+1)-$Q$17)/$Q$19*$Q$13)</f>
        <v>1.2857973333333332</v>
      </c>
      <c r="AB67">
        <f>IF(OR(V67=1),NA(),2+(INDEX($B$6:$M$25,($Q$3-1-2)*$Q$4+X67+1,0*$Q$5+W67+1)-$Q$17)/$Q$19*$Q$13)</f>
        <v>2.4070480000000001</v>
      </c>
      <c r="AC67">
        <f>IF(OR(V67=1),NA(),3+(INDEX($B$6:$M$25,($Q$3-1-3)*$Q$4+X67+1,0*$Q$5+W67+1)-$Q$17)/$Q$19*$Q$13)</f>
        <v>3.2877653333333332</v>
      </c>
      <c r="AD67">
        <f>IF(OR(V67=1),NA(),4+(INDEX($B$6:$M$25,($Q$3-1-4)*$Q$4+X67+1,0*$Q$5+W67+1)-$Q$17)/$Q$19*$Q$13)</f>
        <v>4.4090160000000003</v>
      </c>
      <c r="AL67">
        <v>41.5</v>
      </c>
      <c r="AM67">
        <f>IF(OR($Q$17&gt;0,$Q$18&lt;0),NA(),3+$Q$20)</f>
        <v>3</v>
      </c>
    </row>
    <row r="68" spans="16:39" x14ac:dyDescent="0.35">
      <c r="P68">
        <v>45</v>
      </c>
      <c r="Q68">
        <f>P68-$Q$12</f>
        <v>42</v>
      </c>
      <c r="R68">
        <f>IF(Q68&lt;=0,-1,INT((Q68-1)/($Q$10+$Q$11)))</f>
        <v>3</v>
      </c>
      <c r="S68">
        <f>IF(Q68&lt;=0,-1,MOD(Q68-1,($Q$10+$Q$11)))</f>
        <v>2</v>
      </c>
      <c r="T68">
        <f>IF(OR(S68&lt;0,S68&gt;=$Q$10),-1,INT(S68/$Q$9))</f>
        <v>2</v>
      </c>
      <c r="U68">
        <f>IF(OR(S68&lt;0,S68&gt;=$Q$10),-1,MOD(S68,$Q$9))</f>
        <v>0</v>
      </c>
      <c r="V68">
        <f>IF(OR(Q68&lt;=0,S68&lt;0,S68&gt;=$Q$10,R68&gt;=$Q$7),1,0)</f>
        <v>0</v>
      </c>
      <c r="W68">
        <f>IF(V68=1,-1,T68)</f>
        <v>2</v>
      </c>
      <c r="X68">
        <f>IF(V68=1,-1,R68)</f>
        <v>3</v>
      </c>
      <c r="Y68" t="str">
        <f>IF(V68=1,"",IF(AND(MOD(W68,3)=0,U68=INT(($Q$9-1)/2)),INDEX($B$5:$M$5,W68+1),""))</f>
        <v/>
      </c>
      <c r="Z68">
        <f>IF(OR(V68=1),NA(),0+(INDEX($B$6:$M$25,($Q$3-1-0)*$Q$4+X68+1,0*$Q$5+W68+1)-$Q$17)/$Q$19*$Q$13)</f>
        <v>0.44935999999999998</v>
      </c>
      <c r="AA68">
        <f>IF(OR(V68=1),NA(),1+(INDEX($B$6:$M$25,($Q$3-1-1)*$Q$4+X68+1,0*$Q$5+W68+1)-$Q$17)/$Q$19*$Q$13)</f>
        <v>1.3255399999999999</v>
      </c>
      <c r="AB68">
        <f>IF(OR(V68=1),NA(),2+(INDEX($B$6:$M$25,($Q$3-1-2)*$Q$4+X68+1,0*$Q$5+W68+1)-$Q$17)/$Q$19*$Q$13)</f>
        <v>2.4505626666666664</v>
      </c>
      <c r="AC68">
        <f>IF(OR(V68=1),NA(),3+(INDEX($B$6:$M$25,($Q$3-1-3)*$Q$4+X68+1,0*$Q$5+W68+1)-$Q$17)/$Q$19*$Q$13)</f>
        <v>3.2283973333333336</v>
      </c>
      <c r="AD68">
        <f>IF(OR(V68=1),NA(),4+(INDEX($B$6:$M$25,($Q$3-1-4)*$Q$4+X68+1,0*$Q$5+W68+1)-$Q$17)/$Q$19*$Q$13)</f>
        <v>4.4518199999999997</v>
      </c>
      <c r="AL68">
        <v>41.5</v>
      </c>
      <c r="AM68" t="e">
        <f>NA()</f>
        <v>#N/A</v>
      </c>
    </row>
    <row r="69" spans="16:39" x14ac:dyDescent="0.35">
      <c r="P69">
        <v>46</v>
      </c>
      <c r="Q69">
        <f>P69-$Q$12</f>
        <v>43</v>
      </c>
      <c r="R69">
        <f>IF(Q69&lt;=0,-1,INT((Q69-1)/($Q$10+$Q$11)))</f>
        <v>3</v>
      </c>
      <c r="S69">
        <f>IF(Q69&lt;=0,-1,MOD(Q69-1,($Q$10+$Q$11)))</f>
        <v>3</v>
      </c>
      <c r="T69">
        <f>IF(OR(S69&lt;0,S69&gt;=$Q$10),-1,INT(S69/$Q$9))</f>
        <v>3</v>
      </c>
      <c r="U69">
        <f>IF(OR(S69&lt;0,S69&gt;=$Q$10),-1,MOD(S69,$Q$9))</f>
        <v>0</v>
      </c>
      <c r="V69">
        <f>IF(OR(Q69&lt;=0,S69&lt;0,S69&gt;=$Q$10,R69&gt;=$Q$7),1,0)</f>
        <v>0</v>
      </c>
      <c r="W69">
        <f>IF(V69=1,-1,T69)</f>
        <v>3</v>
      </c>
      <c r="X69">
        <f>IF(V69=1,-1,R69)</f>
        <v>3</v>
      </c>
      <c r="Y69" t="str">
        <f>IF(V69=1,"",IF(AND(MOD(W69,3)=0,U69=INT(($Q$9-1)/2)),INDEX($B$5:$M$5,W69+1),""))</f>
        <v>Apr</v>
      </c>
      <c r="Z69">
        <f>IF(OR(V69=1),NA(),0+(INDEX($B$6:$M$25,($Q$3-1-0)*$Q$4+X69+1,0*$Q$5+W69+1)-$Q$17)/$Q$19*$Q$13)</f>
        <v>0.49363999999999997</v>
      </c>
      <c r="AA69">
        <f>IF(OR(V69=1),NA(),1+(INDEX($B$6:$M$25,($Q$3-1-1)*$Q$4+X69+1,0*$Q$5+W69+1)-$Q$17)/$Q$19*$Q$13)</f>
        <v>1.2668826666666666</v>
      </c>
      <c r="AB69">
        <f>IF(OR(V69=1),NA(),2+(INDEX($B$6:$M$25,($Q$3-1-2)*$Q$4+X69+1,0*$Q$5+W69+1)-$Q$17)/$Q$19*$Q$13)</f>
        <v>2.494132</v>
      </c>
      <c r="AC69">
        <f>IF(OR(V69=1),NA(),3+(INDEX($B$6:$M$25,($Q$3-1-3)*$Q$4+X69+1,0*$Q$5+W69+1)-$Q$17)/$Q$19*$Q$13)</f>
        <v>3.2673746666666665</v>
      </c>
      <c r="AD69">
        <f>IF(OR(V69=1),NA(),4+(INDEX($B$6:$M$25,($Q$3-1-4)*$Q$4+X69+1,0*$Q$5+W69+1)-$Q$17)/$Q$19*$Q$13)</f>
        <v>4.3962240000000001</v>
      </c>
      <c r="AL69">
        <v>42.5</v>
      </c>
      <c r="AM69">
        <f>IF(OR($Q$17&gt;0,$Q$18&lt;0),NA(),3+$Q$20)</f>
        <v>3</v>
      </c>
    </row>
    <row r="70" spans="16:39" x14ac:dyDescent="0.35">
      <c r="P70">
        <v>47</v>
      </c>
      <c r="Q70">
        <f>P70-$Q$12</f>
        <v>44</v>
      </c>
      <c r="R70">
        <f>IF(Q70&lt;=0,-1,INT((Q70-1)/($Q$10+$Q$11)))</f>
        <v>3</v>
      </c>
      <c r="S70">
        <f>IF(Q70&lt;=0,-1,MOD(Q70-1,($Q$10+$Q$11)))</f>
        <v>4</v>
      </c>
      <c r="T70">
        <f>IF(OR(S70&lt;0,S70&gt;=$Q$10),-1,INT(S70/$Q$9))</f>
        <v>4</v>
      </c>
      <c r="U70">
        <f>IF(OR(S70&lt;0,S70&gt;=$Q$10),-1,MOD(S70,$Q$9))</f>
        <v>0</v>
      </c>
      <c r="V70">
        <f>IF(OR(Q70&lt;=0,S70&lt;0,S70&gt;=$Q$10,R70&gt;=$Q$7),1,0)</f>
        <v>0</v>
      </c>
      <c r="W70">
        <f>IF(V70=1,-1,T70)</f>
        <v>4</v>
      </c>
      <c r="X70">
        <f>IF(V70=1,-1,R70)</f>
        <v>3</v>
      </c>
      <c r="Y70" t="str">
        <f>IF(V70=1,"",IF(AND(MOD(W70,3)=0,U70=INT(($Q$9-1)/2)),INDEX($B$5:$M$5,W70+1),""))</f>
        <v/>
      </c>
      <c r="Z70">
        <f>IF(OR(V70=1),NA(),0+(INDEX($B$6:$M$25,($Q$3-1-0)*$Q$4+X70+1,0*$Q$5+W70+1)-$Q$17)/$Q$19*$Q$13)</f>
        <v>0.53791999999999995</v>
      </c>
      <c r="AA70">
        <f>IF(OR(V70=1),NA(),1+(INDEX($B$6:$M$25,($Q$3-1-1)*$Q$4+X70+1,0*$Q$5+W70+1)-$Q$17)/$Q$19*$Q$13)</f>
        <v>1.3066800000000001</v>
      </c>
      <c r="AB70">
        <f>IF(OR(V70=1),NA(),2+(INDEX($B$6:$M$25,($Q$3-1-2)*$Q$4+X70+1,0*$Q$5+W70+1)-$Q$17)/$Q$19*$Q$13)</f>
        <v>2.4392466666666666</v>
      </c>
      <c r="AC70">
        <f>IF(OR(V70=1),NA(),3+(INDEX($B$6:$M$25,($Q$3-1-3)*$Q$4+X70+1,0*$Q$5+W70+1)-$Q$17)/$Q$19*$Q$13)</f>
        <v>3.3064066666666667</v>
      </c>
      <c r="AD70">
        <f>IF(OR(V70=1),NA(),4+(INDEX($B$6:$M$25,($Q$3-1-4)*$Q$4+X70+1,0*$Q$5+W70+1)-$Q$17)/$Q$19*$Q$13)</f>
        <v>4.4389733333333332</v>
      </c>
      <c r="AL70">
        <v>54.5</v>
      </c>
      <c r="AM70">
        <f>IF(OR($Q$17&gt;0,$Q$18&lt;0),NA(),3+$Q$20)</f>
        <v>3</v>
      </c>
    </row>
    <row r="71" spans="16:39" x14ac:dyDescent="0.35">
      <c r="P71">
        <v>48</v>
      </c>
      <c r="Q71">
        <f>P71-$Q$12</f>
        <v>45</v>
      </c>
      <c r="R71">
        <f>IF(Q71&lt;=0,-1,INT((Q71-1)/($Q$10+$Q$11)))</f>
        <v>3</v>
      </c>
      <c r="S71">
        <f>IF(Q71&lt;=0,-1,MOD(Q71-1,($Q$10+$Q$11)))</f>
        <v>5</v>
      </c>
      <c r="T71">
        <f>IF(OR(S71&lt;0,S71&gt;=$Q$10),-1,INT(S71/$Q$9))</f>
        <v>5</v>
      </c>
      <c r="U71">
        <f>IF(OR(S71&lt;0,S71&gt;=$Q$10),-1,MOD(S71,$Q$9))</f>
        <v>0</v>
      </c>
      <c r="V71">
        <f>IF(OR(Q71&lt;=0,S71&lt;0,S71&gt;=$Q$10,R71&gt;=$Q$7),1,0)</f>
        <v>0</v>
      </c>
      <c r="W71">
        <f>IF(V71=1,-1,T71)</f>
        <v>5</v>
      </c>
      <c r="X71">
        <f>IF(V71=1,-1,R71)</f>
        <v>3</v>
      </c>
      <c r="Y71" t="str">
        <f>IF(V71=1,"",IF(AND(MOD(W71,3)=0,U71=INT(($Q$9-1)/2)),INDEX($B$5:$M$5,W71+1),""))</f>
        <v/>
      </c>
      <c r="Z71">
        <f>IF(OR(V71=1),NA(),0+(INDEX($B$6:$M$25,($Q$3-1-0)*$Q$4+X71+1,0*$Q$5+W71+1)-$Q$17)/$Q$19*$Q$13)</f>
        <v>0.48379999999999995</v>
      </c>
      <c r="AA71">
        <f>IF(OR(V71=1),NA(),1+(INDEX($B$6:$M$25,($Q$3-1-1)*$Q$4+X71+1,0*$Q$5+W71+1)-$Q$17)/$Q$19*$Q$13)</f>
        <v>1.3464773333333333</v>
      </c>
      <c r="AB71">
        <f>IF(OR(V71=1),NA(),2+(INDEX($B$6:$M$25,($Q$3-1-2)*$Q$4+X71+1,0*$Q$5+W71+1)-$Q$17)/$Q$19*$Q$13)</f>
        <v>2.4827613333333334</v>
      </c>
      <c r="AC71">
        <f>IF(OR(V71=1),NA(),3+(INDEX($B$6:$M$25,($Q$3-1-3)*$Q$4+X71+1,0*$Q$5+W71+1)-$Q$17)/$Q$19*$Q$13)</f>
        <v>3.2470386666666666</v>
      </c>
      <c r="AD71">
        <f>IF(OR(V71=1),NA(),4+(INDEX($B$6:$M$25,($Q$3-1-4)*$Q$4+X71+1,0*$Q$5+W71+1)-$Q$17)/$Q$19*$Q$13)</f>
        <v>4.4817226666666663</v>
      </c>
      <c r="AL71">
        <v>54.5</v>
      </c>
      <c r="AM71" t="e">
        <f>NA()</f>
        <v>#N/A</v>
      </c>
    </row>
    <row r="72" spans="16:39" x14ac:dyDescent="0.35">
      <c r="P72">
        <v>49</v>
      </c>
      <c r="Q72">
        <f>P72-$Q$12</f>
        <v>46</v>
      </c>
      <c r="R72">
        <f>IF(Q72&lt;=0,-1,INT((Q72-1)/($Q$10+$Q$11)))</f>
        <v>3</v>
      </c>
      <c r="S72">
        <f>IF(Q72&lt;=0,-1,MOD(Q72-1,($Q$10+$Q$11)))</f>
        <v>6</v>
      </c>
      <c r="T72">
        <f>IF(OR(S72&lt;0,S72&gt;=$Q$10),-1,INT(S72/$Q$9))</f>
        <v>6</v>
      </c>
      <c r="U72">
        <f>IF(OR(S72&lt;0,S72&gt;=$Q$10),-1,MOD(S72,$Q$9))</f>
        <v>0</v>
      </c>
      <c r="V72">
        <f>IF(OR(Q72&lt;=0,S72&lt;0,S72&gt;=$Q$10,R72&gt;=$Q$7),1,0)</f>
        <v>0</v>
      </c>
      <c r="W72">
        <f>IF(V72=1,-1,T72)</f>
        <v>6</v>
      </c>
      <c r="X72">
        <f>IF(V72=1,-1,R72)</f>
        <v>3</v>
      </c>
      <c r="Y72" t="str">
        <f>IF(V72=1,"",IF(AND(MOD(W72,3)=0,U72=INT(($Q$9-1)/2)),INDEX($B$5:$M$5,W72+1),""))</f>
        <v>Jul</v>
      </c>
      <c r="Z72">
        <f>IF(OR(V72=1),NA(),0+(INDEX($B$6:$M$25,($Q$3-1-0)*$Q$4+X72+1,0*$Q$5+W72+1)-$Q$17)/$Q$19*$Q$13)</f>
        <v>0.52807999999999999</v>
      </c>
      <c r="AA72">
        <f>IF(OR(V72=1),NA(),1+(INDEX($B$6:$M$25,($Q$3-1-1)*$Q$4+X72+1,0*$Q$5+W72+1)-$Q$17)/$Q$19*$Q$13)</f>
        <v>1.28782</v>
      </c>
      <c r="AB72">
        <f>IF(OR(V72=1),NA(),2+(INDEX($B$6:$M$25,($Q$3-1-2)*$Q$4+X72+1,0*$Q$5+W72+1)-$Q$17)/$Q$19*$Q$13)</f>
        <v>2.5262760000000002</v>
      </c>
      <c r="AC72">
        <f>IF(OR(V72=1),NA(),3+(INDEX($B$6:$M$25,($Q$3-1-3)*$Q$4+X72+1,0*$Q$5+W72+1)-$Q$17)/$Q$19*$Q$13)</f>
        <v>3.286016</v>
      </c>
      <c r="AD72">
        <f>IF(OR(V72=1),NA(),4+(INDEX($B$6:$M$25,($Q$3-1-4)*$Q$4+X72+1,0*$Q$5+W72+1)-$Q$17)/$Q$19*$Q$13)</f>
        <v>4.4261266666666668</v>
      </c>
      <c r="AL72">
        <v>3.5</v>
      </c>
      <c r="AM72">
        <f>IF(OR($Q$17&gt;0,$Q$18&lt;0),NA(),4+$Q$20)</f>
        <v>4</v>
      </c>
    </row>
    <row r="73" spans="16:39" x14ac:dyDescent="0.35">
      <c r="P73">
        <v>50</v>
      </c>
      <c r="Q73">
        <f>P73-$Q$12</f>
        <v>47</v>
      </c>
      <c r="R73">
        <f>IF(Q73&lt;=0,-1,INT((Q73-1)/($Q$10+$Q$11)))</f>
        <v>3</v>
      </c>
      <c r="S73">
        <f>IF(Q73&lt;=0,-1,MOD(Q73-1,($Q$10+$Q$11)))</f>
        <v>7</v>
      </c>
      <c r="T73">
        <f>IF(OR(S73&lt;0,S73&gt;=$Q$10),-1,INT(S73/$Q$9))</f>
        <v>7</v>
      </c>
      <c r="U73">
        <f>IF(OR(S73&lt;0,S73&gt;=$Q$10),-1,MOD(S73,$Q$9))</f>
        <v>0</v>
      </c>
      <c r="V73">
        <f>IF(OR(Q73&lt;=0,S73&lt;0,S73&gt;=$Q$10,R73&gt;=$Q$7),1,0)</f>
        <v>0</v>
      </c>
      <c r="W73">
        <f>IF(V73=1,-1,T73)</f>
        <v>7</v>
      </c>
      <c r="X73">
        <f>IF(V73=1,-1,R73)</f>
        <v>3</v>
      </c>
      <c r="Y73" t="str">
        <f>IF(V73=1,"",IF(AND(MOD(W73,3)=0,U73=INT(($Q$9-1)/2)),INDEX($B$5:$M$5,W73+1),""))</f>
        <v/>
      </c>
      <c r="Z73">
        <f>IF(OR(V73=1),NA(),0+(INDEX($B$6:$M$25,($Q$3-1-0)*$Q$4+X73+1,0*$Q$5+W73+1)-$Q$17)/$Q$19*$Q$13)</f>
        <v>0.57235999999999998</v>
      </c>
      <c r="AA73">
        <f>IF(OR(V73=1),NA(),1+(INDEX($B$6:$M$25,($Q$3-1-1)*$Q$4+X73+1,0*$Q$5+W73+1)-$Q$17)/$Q$19*$Q$13)</f>
        <v>1.3275626666666667</v>
      </c>
      <c r="AB73">
        <f>IF(OR(V73=1),NA(),2+(INDEX($B$6:$M$25,($Q$3-1-2)*$Q$4+X73+1,0*$Q$5+W73+1)-$Q$17)/$Q$19*$Q$13)</f>
        <v>2.4714453333333335</v>
      </c>
      <c r="AC73">
        <f>IF(OR(V73=1),NA(),3+(INDEX($B$6:$M$25,($Q$3-1-3)*$Q$4+X73+1,0*$Q$5+W73+1)-$Q$17)/$Q$19*$Q$13)</f>
        <v>3.3250479999999998</v>
      </c>
      <c r="AD73">
        <f>IF(OR(V73=1),NA(),4+(INDEX($B$6:$M$25,($Q$3-1-4)*$Q$4+X73+1,0*$Q$5+W73+1)-$Q$17)/$Q$19*$Q$13)</f>
        <v>4.4689306666666671</v>
      </c>
      <c r="AL73">
        <v>15.5</v>
      </c>
      <c r="AM73">
        <f>IF(OR($Q$17&gt;0,$Q$18&lt;0),NA(),4+$Q$20)</f>
        <v>4</v>
      </c>
    </row>
    <row r="74" spans="16:39" x14ac:dyDescent="0.35">
      <c r="P74">
        <v>51</v>
      </c>
      <c r="Q74">
        <f>P74-$Q$12</f>
        <v>48</v>
      </c>
      <c r="R74">
        <f>IF(Q74&lt;=0,-1,INT((Q74-1)/($Q$10+$Q$11)))</f>
        <v>3</v>
      </c>
      <c r="S74">
        <f>IF(Q74&lt;=0,-1,MOD(Q74-1,($Q$10+$Q$11)))</f>
        <v>8</v>
      </c>
      <c r="T74">
        <f>IF(OR(S74&lt;0,S74&gt;=$Q$10),-1,INT(S74/$Q$9))</f>
        <v>8</v>
      </c>
      <c r="U74">
        <f>IF(OR(S74&lt;0,S74&gt;=$Q$10),-1,MOD(S74,$Q$9))</f>
        <v>0</v>
      </c>
      <c r="V74">
        <f>IF(OR(Q74&lt;=0,S74&lt;0,S74&gt;=$Q$10,R74&gt;=$Q$7),1,0)</f>
        <v>0</v>
      </c>
      <c r="W74">
        <f>IF(V74=1,-1,T74)</f>
        <v>8</v>
      </c>
      <c r="X74">
        <f>IF(V74=1,-1,R74)</f>
        <v>3</v>
      </c>
      <c r="Y74" t="str">
        <f>IF(V74=1,"",IF(AND(MOD(W74,3)=0,U74=INT(($Q$9-1)/2)),INDEX($B$5:$M$5,W74+1),""))</f>
        <v/>
      </c>
      <c r="Z74">
        <f>IF(OR(V74=1),NA(),0+(INDEX($B$6:$M$25,($Q$3-1-0)*$Q$4+X74+1,0*$Q$5+W74+1)-$Q$17)/$Q$19*$Q$13)</f>
        <v>0.51823999999999992</v>
      </c>
      <c r="AA74">
        <f>IF(OR(V74=1),NA(),1+(INDEX($B$6:$M$25,($Q$3-1-1)*$Q$4+X74+1,0*$Q$5+W74+1)-$Q$17)/$Q$19*$Q$13)</f>
        <v>1.3673599999999999</v>
      </c>
      <c r="AB74">
        <f>IF(OR(V74=1),NA(),2+(INDEX($B$6:$M$25,($Q$3-1-2)*$Q$4+X74+1,0*$Q$5+W74+1)-$Q$17)/$Q$19*$Q$13)</f>
        <v>2.5149599999999999</v>
      </c>
      <c r="AC74">
        <f>IF(OR(V74=1),NA(),3+(INDEX($B$6:$M$25,($Q$3-1-3)*$Q$4+X74+1,0*$Q$5+W74+1)-$Q$17)/$Q$19*$Q$13)</f>
        <v>3.2656800000000001</v>
      </c>
      <c r="AD74">
        <f>IF(OR(V74=1),NA(),4+(INDEX($B$6:$M$25,($Q$3-1-4)*$Q$4+X74+1,0*$Q$5+W74+1)-$Q$17)/$Q$19*$Q$13)</f>
        <v>4.5116800000000001</v>
      </c>
      <c r="AL74">
        <v>15.5</v>
      </c>
      <c r="AM74" t="e">
        <f>NA()</f>
        <v>#N/A</v>
      </c>
    </row>
    <row r="75" spans="16:39" x14ac:dyDescent="0.35">
      <c r="P75">
        <v>52</v>
      </c>
      <c r="Q75">
        <f>P75-$Q$12</f>
        <v>49</v>
      </c>
      <c r="R75">
        <f>IF(Q75&lt;=0,-1,INT((Q75-1)/($Q$10+$Q$11)))</f>
        <v>3</v>
      </c>
      <c r="S75">
        <f>IF(Q75&lt;=0,-1,MOD(Q75-1,($Q$10+$Q$11)))</f>
        <v>9</v>
      </c>
      <c r="T75">
        <f>IF(OR(S75&lt;0,S75&gt;=$Q$10),-1,INT(S75/$Q$9))</f>
        <v>9</v>
      </c>
      <c r="U75">
        <f>IF(OR(S75&lt;0,S75&gt;=$Q$10),-1,MOD(S75,$Q$9))</f>
        <v>0</v>
      </c>
      <c r="V75">
        <f>IF(OR(Q75&lt;=0,S75&lt;0,S75&gt;=$Q$10,R75&gt;=$Q$7),1,0)</f>
        <v>0</v>
      </c>
      <c r="W75">
        <f>IF(V75=1,-1,T75)</f>
        <v>9</v>
      </c>
      <c r="X75">
        <f>IF(V75=1,-1,R75)</f>
        <v>3</v>
      </c>
      <c r="Y75" t="str">
        <f>IF(V75=1,"",IF(AND(MOD(W75,3)=0,U75=INT(($Q$9-1)/2)),INDEX($B$5:$M$5,W75+1),""))</f>
        <v>Oct</v>
      </c>
      <c r="Z75">
        <f>IF(OR(V75=1),NA(),0+(INDEX($B$6:$M$25,($Q$3-1-0)*$Q$4+X75+1,0*$Q$5+W75+1)-$Q$17)/$Q$19*$Q$13)</f>
        <v>0.56252000000000002</v>
      </c>
      <c r="AA75">
        <f>IF(OR(V75=1),NA(),1+(INDEX($B$6:$M$25,($Q$3-1-1)*$Q$4+X75+1,0*$Q$5+W75+1)-$Q$17)/$Q$19*$Q$13)</f>
        <v>1.3087573333333333</v>
      </c>
      <c r="AB75">
        <f>IF(OR(V75=1),NA(),2+(INDEX($B$6:$M$25,($Q$3-1-2)*$Q$4+X75+1,0*$Q$5+W75+1)-$Q$17)/$Q$19*$Q$13)</f>
        <v>2.5584746666666667</v>
      </c>
      <c r="AC75">
        <f>IF(OR(V75=1),NA(),3+(INDEX($B$6:$M$25,($Q$3-1-3)*$Q$4+X75+1,0*$Q$5+W75+1)-$Q$17)/$Q$19*$Q$13)</f>
        <v>3.3047119999999999</v>
      </c>
      <c r="AD75">
        <f>IF(OR(V75=1),NA(),4+(INDEX($B$6:$M$25,($Q$3-1-4)*$Q$4+X75+1,0*$Q$5+W75+1)-$Q$17)/$Q$19*$Q$13)</f>
        <v>4.4560839999999997</v>
      </c>
      <c r="AL75">
        <v>16.5</v>
      </c>
      <c r="AM75">
        <f>IF(OR($Q$17&gt;0,$Q$18&lt;0),NA(),4+$Q$20)</f>
        <v>4</v>
      </c>
    </row>
    <row r="76" spans="16:39" x14ac:dyDescent="0.35">
      <c r="P76">
        <v>53</v>
      </c>
      <c r="Q76">
        <f>P76-$Q$12</f>
        <v>50</v>
      </c>
      <c r="R76">
        <f>IF(Q76&lt;=0,-1,INT((Q76-1)/($Q$10+$Q$11)))</f>
        <v>3</v>
      </c>
      <c r="S76">
        <f>IF(Q76&lt;=0,-1,MOD(Q76-1,($Q$10+$Q$11)))</f>
        <v>10</v>
      </c>
      <c r="T76">
        <f>IF(OR(S76&lt;0,S76&gt;=$Q$10),-1,INT(S76/$Q$9))</f>
        <v>10</v>
      </c>
      <c r="U76">
        <f>IF(OR(S76&lt;0,S76&gt;=$Q$10),-1,MOD(S76,$Q$9))</f>
        <v>0</v>
      </c>
      <c r="V76">
        <f>IF(OR(Q76&lt;=0,S76&lt;0,S76&gt;=$Q$10,R76&gt;=$Q$7),1,0)</f>
        <v>0</v>
      </c>
      <c r="W76">
        <f>IF(V76=1,-1,T76)</f>
        <v>10</v>
      </c>
      <c r="X76">
        <f>IF(V76=1,-1,R76)</f>
        <v>3</v>
      </c>
      <c r="Y76" t="str">
        <f>IF(V76=1,"",IF(AND(MOD(W76,3)=0,U76=INT(($Q$9-1)/2)),INDEX($B$5:$M$5,W76+1),""))</f>
        <v/>
      </c>
      <c r="Z76">
        <f>IF(OR(V76=1),NA(),0+(INDEX($B$6:$M$25,($Q$3-1-0)*$Q$4+X76+1,0*$Q$5+W76+1)-$Q$17)/$Q$19*$Q$13)</f>
        <v>0.60680000000000001</v>
      </c>
      <c r="AA76">
        <f>IF(OR(V76=1),NA(),1+(INDEX($B$6:$M$25,($Q$3-1-1)*$Q$4+X76+1,0*$Q$5+W76+1)-$Q$17)/$Q$19*$Q$13)</f>
        <v>1.3485</v>
      </c>
      <c r="AB76">
        <f>IF(OR(V76=1),NA(),2+(INDEX($B$6:$M$25,($Q$3-1-2)*$Q$4+X76+1,0*$Q$5+W76+1)-$Q$17)/$Q$19*$Q$13)</f>
        <v>2.5035893333333332</v>
      </c>
      <c r="AC76">
        <f>IF(OR(V76=1),NA(),3+(INDEX($B$6:$M$25,($Q$3-1-3)*$Q$4+X76+1,0*$Q$5+W76+1)-$Q$17)/$Q$19*$Q$13)</f>
        <v>3.343744</v>
      </c>
      <c r="AD76">
        <f>IF(OR(V76=1),NA(),4+(INDEX($B$6:$M$25,($Q$3-1-4)*$Q$4+X76+1,0*$Q$5+W76+1)-$Q$17)/$Q$19*$Q$13)</f>
        <v>4.4988333333333337</v>
      </c>
      <c r="AL76">
        <v>28.5</v>
      </c>
      <c r="AM76">
        <f>IF(OR($Q$17&gt;0,$Q$18&lt;0),NA(),4+$Q$20)</f>
        <v>4</v>
      </c>
    </row>
    <row r="77" spans="16:39" x14ac:dyDescent="0.35">
      <c r="P77">
        <v>54</v>
      </c>
      <c r="Q77">
        <f>P77-$Q$12</f>
        <v>51</v>
      </c>
      <c r="R77">
        <f>IF(Q77&lt;=0,-1,INT((Q77-1)/($Q$10+$Q$11)))</f>
        <v>3</v>
      </c>
      <c r="S77">
        <f>IF(Q77&lt;=0,-1,MOD(Q77-1,($Q$10+$Q$11)))</f>
        <v>11</v>
      </c>
      <c r="T77">
        <f>IF(OR(S77&lt;0,S77&gt;=$Q$10),-1,INT(S77/$Q$9))</f>
        <v>11</v>
      </c>
      <c r="U77">
        <f>IF(OR(S77&lt;0,S77&gt;=$Q$10),-1,MOD(S77,$Q$9))</f>
        <v>0</v>
      </c>
      <c r="V77">
        <f>IF(OR(Q77&lt;=0,S77&lt;0,S77&gt;=$Q$10,R77&gt;=$Q$7),1,0)</f>
        <v>0</v>
      </c>
      <c r="W77">
        <f>IF(V77=1,-1,T77)</f>
        <v>11</v>
      </c>
      <c r="X77">
        <f>IF(V77=1,-1,R77)</f>
        <v>3</v>
      </c>
      <c r="Y77" t="str">
        <f>IF(V77=1,"",IF(AND(MOD(W77,3)=0,U77=INT(($Q$9-1)/2)),INDEX($B$5:$M$5,W77+1),""))</f>
        <v/>
      </c>
      <c r="Z77">
        <f>IF(OR(V77=1),NA(),0+(INDEX($B$6:$M$25,($Q$3-1-0)*$Q$4+X77+1,0*$Q$5+W77+1)-$Q$17)/$Q$19*$Q$13)</f>
        <v>0.55267999999999995</v>
      </c>
      <c r="AA77">
        <f>IF(OR(V77=1),NA(),1+(INDEX($B$6:$M$25,($Q$3-1-1)*$Q$4+X77+1,0*$Q$5+W77+1)-$Q$17)/$Q$19*$Q$13)</f>
        <v>1.3882426666666667</v>
      </c>
      <c r="AB77">
        <f>IF(OR(V77=1),NA(),2+(INDEX($B$6:$M$25,($Q$3-1-2)*$Q$4+X77+1,0*$Q$5+W77+1)-$Q$17)/$Q$19*$Q$13)</f>
        <v>2.5471586666666668</v>
      </c>
      <c r="AC77">
        <f>IF(OR(V77=1),NA(),3+(INDEX($B$6:$M$25,($Q$3-1-3)*$Q$4+X77+1,0*$Q$5+W77+1)-$Q$17)/$Q$19*$Q$13)</f>
        <v>3.2843213333333332</v>
      </c>
      <c r="AD77">
        <f>IF(OR(V77=1),NA(),4+(INDEX($B$6:$M$25,($Q$3-1-4)*$Q$4+X77+1,0*$Q$5+W77+1)-$Q$17)/$Q$19*$Q$13)</f>
        <v>4.5415826666666668</v>
      </c>
      <c r="AL77">
        <v>28.5</v>
      </c>
      <c r="AM77" t="e">
        <f>NA()</f>
        <v>#N/A</v>
      </c>
    </row>
    <row r="78" spans="16:39" x14ac:dyDescent="0.35">
      <c r="AL78">
        <v>29.5</v>
      </c>
      <c r="AM78">
        <f>IF(OR($Q$17&gt;0,$Q$18&lt;0),NA(),4+$Q$20)</f>
        <v>4</v>
      </c>
    </row>
    <row r="79" spans="16:39" x14ac:dyDescent="0.35">
      <c r="AL79">
        <v>41.5</v>
      </c>
      <c r="AM79">
        <f>IF(OR($Q$17&gt;0,$Q$18&lt;0),NA(),4+$Q$20)</f>
        <v>4</v>
      </c>
    </row>
    <row r="80" spans="16:39" x14ac:dyDescent="0.35">
      <c r="AL80">
        <v>41.5</v>
      </c>
      <c r="AM80" t="e">
        <f>NA()</f>
        <v>#N/A</v>
      </c>
    </row>
    <row r="81" spans="38:39" x14ac:dyDescent="0.35">
      <c r="AL81">
        <v>42.5</v>
      </c>
      <c r="AM81">
        <f>IF(OR($Q$17&gt;0,$Q$18&lt;0),NA(),4+$Q$20)</f>
        <v>4</v>
      </c>
    </row>
    <row r="82" spans="38:39" x14ac:dyDescent="0.35">
      <c r="AL82">
        <v>54.5</v>
      </c>
      <c r="AM82">
        <f>IF(OR($Q$17&gt;0,$Q$18&lt;0),NA(),4+$Q$20)</f>
        <v>4</v>
      </c>
    </row>
    <row r="83" spans="38:39" x14ac:dyDescent="0.35">
      <c r="AL83">
        <v>54.5</v>
      </c>
      <c r="AM83" t="e">
        <f>NA()</f>
        <v>#N/A</v>
      </c>
    </row>
  </sheetData>
  <mergeCells count="1">
    <mergeCell ref="B4:M4"/>
  </mergeCells>
  <printOptions horizontalCentered="1" verticalCentered="1"/>
  <pageMargins left="0.25" right="0.25" top="0.25" bottom="0.25" header="0.125" footer="0.125"/>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9286E-0ADA-4FDB-A0E2-57E7C06EE971}">
  <sheetPr>
    <pageSetUpPr fitToPage="1"/>
  </sheetPr>
  <dimension ref="A1:BC77"/>
  <sheetViews>
    <sheetView showGridLines="0" workbookViewId="0"/>
  </sheetViews>
  <sheetFormatPr defaultRowHeight="14.5" x14ac:dyDescent="0.35"/>
  <cols>
    <col min="1" max="1" width="18.6328125" customWidth="1"/>
    <col min="17" max="17" width="8.90625" bestFit="1" customWidth="1"/>
  </cols>
  <sheetData>
    <row r="1" spans="1:17" ht="17" x14ac:dyDescent="0.4">
      <c r="A1" s="2" t="s">
        <v>0</v>
      </c>
    </row>
    <row r="2" spans="1:17" x14ac:dyDescent="0.35">
      <c r="A2" s="3" t="s">
        <v>1</v>
      </c>
      <c r="P2" s="1" t="s">
        <v>36</v>
      </c>
    </row>
    <row r="3" spans="1:17" x14ac:dyDescent="0.35">
      <c r="P3" t="s">
        <v>37</v>
      </c>
      <c r="Q3">
        <v>4</v>
      </c>
    </row>
    <row r="4" spans="1:17" x14ac:dyDescent="0.35">
      <c r="B4" s="4" t="s">
        <v>3</v>
      </c>
      <c r="C4" s="4"/>
      <c r="D4" s="4"/>
      <c r="E4" s="4"/>
      <c r="F4" s="4"/>
      <c r="G4" s="4"/>
      <c r="H4" s="4"/>
      <c r="I4" s="4"/>
      <c r="J4" s="4"/>
      <c r="K4" s="4"/>
      <c r="L4" s="4"/>
      <c r="M4" s="4"/>
      <c r="P4" t="s">
        <v>38</v>
      </c>
      <c r="Q4">
        <v>4</v>
      </c>
    </row>
    <row r="5" spans="1:17" x14ac:dyDescent="0.35">
      <c r="A5" s="1" t="s">
        <v>2</v>
      </c>
      <c r="B5" s="1" t="s">
        <v>4</v>
      </c>
      <c r="C5" s="1" t="s">
        <v>5</v>
      </c>
      <c r="D5" s="1" t="s">
        <v>6</v>
      </c>
      <c r="E5" s="1" t="s">
        <v>7</v>
      </c>
      <c r="F5" s="1" t="s">
        <v>8</v>
      </c>
      <c r="G5" s="1" t="s">
        <v>9</v>
      </c>
      <c r="H5" s="1" t="s">
        <v>10</v>
      </c>
      <c r="I5" s="1" t="s">
        <v>11</v>
      </c>
      <c r="J5" s="1" t="s">
        <v>12</v>
      </c>
      <c r="K5" s="1" t="s">
        <v>13</v>
      </c>
      <c r="L5" s="1" t="s">
        <v>14</v>
      </c>
      <c r="M5" s="1" t="s">
        <v>15</v>
      </c>
      <c r="P5" t="s">
        <v>39</v>
      </c>
      <c r="Q5">
        <v>12</v>
      </c>
    </row>
    <row r="6" spans="1:17" x14ac:dyDescent="0.35">
      <c r="A6" t="s">
        <v>16</v>
      </c>
      <c r="B6" s="5">
        <v>725</v>
      </c>
      <c r="C6" s="5">
        <v>804.6</v>
      </c>
      <c r="D6" s="5">
        <v>884.2</v>
      </c>
      <c r="E6" s="5">
        <v>783.9</v>
      </c>
      <c r="F6" s="5">
        <v>863.5</v>
      </c>
      <c r="G6" s="5">
        <v>943.1</v>
      </c>
      <c r="H6" s="5">
        <v>842.7</v>
      </c>
      <c r="I6" s="5">
        <v>922.4</v>
      </c>
      <c r="J6" s="5">
        <v>1002</v>
      </c>
      <c r="K6" s="5">
        <v>901.6</v>
      </c>
      <c r="L6" s="5">
        <v>981.2</v>
      </c>
      <c r="M6" s="5">
        <v>1060.9000000000001</v>
      </c>
      <c r="P6" t="s">
        <v>40</v>
      </c>
      <c r="Q6">
        <v>1</v>
      </c>
    </row>
    <row r="7" spans="1:17" x14ac:dyDescent="0.35">
      <c r="A7" t="s">
        <v>17</v>
      </c>
      <c r="B7" s="5">
        <v>565</v>
      </c>
      <c r="C7" s="5">
        <v>639.1</v>
      </c>
      <c r="D7" s="5">
        <v>533.20000000000005</v>
      </c>
      <c r="E7" s="5">
        <v>607.4</v>
      </c>
      <c r="F7" s="5">
        <v>681.5</v>
      </c>
      <c r="G7" s="5">
        <v>575.6</v>
      </c>
      <c r="H7" s="5">
        <v>649.79999999999995</v>
      </c>
      <c r="I7" s="5">
        <v>723.9</v>
      </c>
      <c r="J7" s="5">
        <v>618</v>
      </c>
      <c r="K7" s="5">
        <v>692.1</v>
      </c>
      <c r="L7" s="5">
        <v>766.2</v>
      </c>
      <c r="M7" s="5">
        <v>660.4</v>
      </c>
      <c r="P7" t="s">
        <v>41</v>
      </c>
      <c r="Q7">
        <v>4</v>
      </c>
    </row>
    <row r="8" spans="1:17" x14ac:dyDescent="0.35">
      <c r="A8" t="s">
        <v>18</v>
      </c>
      <c r="B8" s="5">
        <v>1010</v>
      </c>
      <c r="C8" s="5">
        <v>913.7</v>
      </c>
      <c r="D8" s="5">
        <v>997.5</v>
      </c>
      <c r="E8" s="5">
        <v>1081.2</v>
      </c>
      <c r="F8" s="5">
        <v>985</v>
      </c>
      <c r="G8" s="5">
        <v>1068.8</v>
      </c>
      <c r="H8" s="5">
        <v>1152.5</v>
      </c>
      <c r="I8" s="5">
        <v>1056.2</v>
      </c>
      <c r="J8" s="5">
        <v>1140</v>
      </c>
      <c r="K8" s="5">
        <v>1223.8</v>
      </c>
      <c r="L8" s="5">
        <v>1127.5</v>
      </c>
      <c r="M8" s="5">
        <v>1211.2</v>
      </c>
      <c r="P8" t="s">
        <v>42</v>
      </c>
      <c r="Q8">
        <v>4</v>
      </c>
    </row>
    <row r="9" spans="1:17" x14ac:dyDescent="0.35">
      <c r="A9" t="s">
        <v>19</v>
      </c>
      <c r="B9" s="5">
        <v>670</v>
      </c>
      <c r="C9" s="5">
        <v>748.2</v>
      </c>
      <c r="D9" s="5">
        <v>826.5</v>
      </c>
      <c r="E9" s="5">
        <v>724.8</v>
      </c>
      <c r="F9" s="5">
        <v>803</v>
      </c>
      <c r="G9" s="5">
        <v>881.2</v>
      </c>
      <c r="H9" s="5">
        <v>779.5</v>
      </c>
      <c r="I9" s="5">
        <v>857.8</v>
      </c>
      <c r="J9" s="5">
        <v>936</v>
      </c>
      <c r="K9" s="5">
        <v>834.3</v>
      </c>
      <c r="L9" s="5">
        <v>912.5</v>
      </c>
      <c r="M9" s="5">
        <v>990.7</v>
      </c>
      <c r="P9" t="s">
        <v>43</v>
      </c>
      <c r="Q9">
        <v>1</v>
      </c>
    </row>
    <row r="10" spans="1:17" x14ac:dyDescent="0.35">
      <c r="A10" t="s">
        <v>20</v>
      </c>
      <c r="B10" s="5">
        <v>510</v>
      </c>
      <c r="C10" s="5">
        <v>582.79999999999995</v>
      </c>
      <c r="D10" s="5">
        <v>475.5</v>
      </c>
      <c r="E10" s="5">
        <v>548.20000000000005</v>
      </c>
      <c r="F10" s="5">
        <v>621</v>
      </c>
      <c r="G10" s="5">
        <v>513.79999999999995</v>
      </c>
      <c r="H10" s="5">
        <v>586.5</v>
      </c>
      <c r="I10" s="5">
        <v>659.2</v>
      </c>
      <c r="J10" s="5">
        <v>552</v>
      </c>
      <c r="K10" s="5">
        <v>624.79999999999995</v>
      </c>
      <c r="L10" s="5">
        <v>697.5</v>
      </c>
      <c r="M10" s="5">
        <v>590.20000000000005</v>
      </c>
      <c r="P10" t="s">
        <v>44</v>
      </c>
      <c r="Q10">
        <v>12</v>
      </c>
    </row>
    <row r="11" spans="1:17" x14ac:dyDescent="0.35">
      <c r="A11" t="s">
        <v>21</v>
      </c>
      <c r="B11" s="5">
        <v>955</v>
      </c>
      <c r="C11" s="5">
        <v>857.4</v>
      </c>
      <c r="D11" s="5">
        <v>939.8</v>
      </c>
      <c r="E11" s="5">
        <v>1022.1</v>
      </c>
      <c r="F11" s="5">
        <v>924.5</v>
      </c>
      <c r="G11" s="5">
        <v>1006.9</v>
      </c>
      <c r="H11" s="5">
        <v>1089.2</v>
      </c>
      <c r="I11" s="5">
        <v>991.6</v>
      </c>
      <c r="J11" s="5">
        <v>1074</v>
      </c>
      <c r="K11" s="5">
        <v>1156.4000000000001</v>
      </c>
      <c r="L11" s="5">
        <v>1058.8</v>
      </c>
      <c r="M11" s="5">
        <v>1141.0999999999999</v>
      </c>
      <c r="P11" t="s">
        <v>45</v>
      </c>
      <c r="Q11">
        <v>1</v>
      </c>
    </row>
    <row r="12" spans="1:17" x14ac:dyDescent="0.35">
      <c r="A12" t="s">
        <v>22</v>
      </c>
      <c r="B12" s="5">
        <v>615</v>
      </c>
      <c r="C12" s="5">
        <v>691.9</v>
      </c>
      <c r="D12" s="5">
        <v>768.8</v>
      </c>
      <c r="E12" s="5">
        <v>665.6</v>
      </c>
      <c r="F12" s="5">
        <v>742.5</v>
      </c>
      <c r="G12" s="5">
        <v>819.4</v>
      </c>
      <c r="H12" s="5">
        <v>716.2</v>
      </c>
      <c r="I12" s="5">
        <v>793.1</v>
      </c>
      <c r="J12" s="5">
        <v>870</v>
      </c>
      <c r="K12" s="5">
        <v>766.9</v>
      </c>
      <c r="L12" s="5">
        <v>843.8</v>
      </c>
      <c r="M12" s="5">
        <v>920.6</v>
      </c>
      <c r="P12" t="s">
        <v>46</v>
      </c>
      <c r="Q12">
        <v>3</v>
      </c>
    </row>
    <row r="13" spans="1:17" x14ac:dyDescent="0.35">
      <c r="A13" t="s">
        <v>23</v>
      </c>
      <c r="B13" s="5">
        <v>455</v>
      </c>
      <c r="C13" s="5">
        <v>526.4</v>
      </c>
      <c r="D13" s="5">
        <v>417.8</v>
      </c>
      <c r="E13" s="5">
        <v>489.1</v>
      </c>
      <c r="F13" s="5">
        <v>560.5</v>
      </c>
      <c r="G13" s="5">
        <v>451.9</v>
      </c>
      <c r="H13" s="5">
        <v>523.20000000000005</v>
      </c>
      <c r="I13" s="5">
        <v>594.6</v>
      </c>
      <c r="J13" s="5">
        <v>486</v>
      </c>
      <c r="K13" s="5">
        <v>557.4</v>
      </c>
      <c r="L13" s="5">
        <v>628.79999999999995</v>
      </c>
      <c r="M13" s="5">
        <v>520.1</v>
      </c>
      <c r="P13" t="s">
        <v>47</v>
      </c>
      <c r="Q13">
        <v>0.82</v>
      </c>
    </row>
    <row r="14" spans="1:17" x14ac:dyDescent="0.35">
      <c r="A14" t="s">
        <v>24</v>
      </c>
      <c r="B14" s="5">
        <v>900</v>
      </c>
      <c r="C14" s="5">
        <v>801</v>
      </c>
      <c r="D14" s="5">
        <v>882</v>
      </c>
      <c r="E14" s="5">
        <v>963</v>
      </c>
      <c r="F14" s="5">
        <v>864</v>
      </c>
      <c r="G14" s="5">
        <v>945</v>
      </c>
      <c r="H14" s="5">
        <v>1026</v>
      </c>
      <c r="I14" s="5">
        <v>927</v>
      </c>
      <c r="J14" s="5">
        <v>1008</v>
      </c>
      <c r="K14" s="5">
        <v>1089</v>
      </c>
      <c r="L14" s="5">
        <v>990</v>
      </c>
      <c r="M14" s="5">
        <v>1071</v>
      </c>
      <c r="P14" t="s">
        <v>48</v>
      </c>
      <c r="Q14" s="6">
        <f>MIN(0,MIN($B$6:$M$21))</f>
        <v>0</v>
      </c>
    </row>
    <row r="15" spans="1:17" x14ac:dyDescent="0.35">
      <c r="A15" t="s">
        <v>25</v>
      </c>
      <c r="B15" s="5">
        <v>560</v>
      </c>
      <c r="C15" s="5">
        <v>635.5</v>
      </c>
      <c r="D15" s="5">
        <v>711</v>
      </c>
      <c r="E15" s="5">
        <v>606.5</v>
      </c>
      <c r="F15" s="5">
        <v>682</v>
      </c>
      <c r="G15" s="5">
        <v>757.5</v>
      </c>
      <c r="H15" s="5">
        <v>653</v>
      </c>
      <c r="I15" s="5">
        <v>728.5</v>
      </c>
      <c r="J15" s="5">
        <v>804</v>
      </c>
      <c r="K15" s="5">
        <v>699.5</v>
      </c>
      <c r="L15" s="5">
        <v>775</v>
      </c>
      <c r="M15" s="5">
        <v>850.5</v>
      </c>
      <c r="P15" t="s">
        <v>49</v>
      </c>
      <c r="Q15" s="6">
        <f>MAX($B$6:$M$21)</f>
        <v>1247.5</v>
      </c>
    </row>
    <row r="16" spans="1:17" x14ac:dyDescent="0.35">
      <c r="A16" t="s">
        <v>26</v>
      </c>
      <c r="B16" s="5">
        <v>400</v>
      </c>
      <c r="C16" s="5">
        <v>470</v>
      </c>
      <c r="D16" s="5">
        <v>360</v>
      </c>
      <c r="E16" s="5">
        <v>430</v>
      </c>
      <c r="F16" s="5">
        <v>500</v>
      </c>
      <c r="G16" s="5">
        <v>390</v>
      </c>
      <c r="H16" s="5">
        <v>460</v>
      </c>
      <c r="I16" s="5">
        <v>530</v>
      </c>
      <c r="J16" s="5">
        <v>420</v>
      </c>
      <c r="K16" s="5">
        <v>490</v>
      </c>
      <c r="L16" s="5">
        <v>560</v>
      </c>
      <c r="M16" s="5">
        <v>450</v>
      </c>
      <c r="P16" t="s">
        <v>50</v>
      </c>
      <c r="Q16" s="6">
        <f>10^INT(LOG10(MAX(0.000000001,$Q$15-$Q$14)))/2</f>
        <v>500</v>
      </c>
    </row>
    <row r="17" spans="1:55" x14ac:dyDescent="0.35">
      <c r="A17" t="s">
        <v>27</v>
      </c>
      <c r="B17" s="5">
        <v>845</v>
      </c>
      <c r="C17" s="5">
        <v>744.6</v>
      </c>
      <c r="D17" s="5">
        <v>824.2</v>
      </c>
      <c r="E17" s="5">
        <v>903.9</v>
      </c>
      <c r="F17" s="5">
        <v>803.5</v>
      </c>
      <c r="G17" s="5">
        <v>883.1</v>
      </c>
      <c r="H17" s="5">
        <v>962.7</v>
      </c>
      <c r="I17" s="5">
        <v>862.4</v>
      </c>
      <c r="J17" s="5">
        <v>942</v>
      </c>
      <c r="K17" s="5">
        <v>1021.6</v>
      </c>
      <c r="L17" s="5">
        <v>921.2</v>
      </c>
      <c r="M17" s="5">
        <v>1000.9</v>
      </c>
      <c r="P17" t="s">
        <v>51</v>
      </c>
      <c r="Q17" s="6">
        <f>FLOOR($Q$14,$Q$16)</f>
        <v>0</v>
      </c>
    </row>
    <row r="18" spans="1:55" x14ac:dyDescent="0.35">
      <c r="A18" t="s">
        <v>28</v>
      </c>
      <c r="B18" s="5">
        <v>505</v>
      </c>
      <c r="C18" s="5">
        <v>579.1</v>
      </c>
      <c r="D18" s="5">
        <v>653.20000000000005</v>
      </c>
      <c r="E18" s="5">
        <v>547.4</v>
      </c>
      <c r="F18" s="5">
        <v>621.5</v>
      </c>
      <c r="G18" s="5">
        <v>695.6</v>
      </c>
      <c r="H18" s="5">
        <v>589.79999999999995</v>
      </c>
      <c r="I18" s="5">
        <v>663.9</v>
      </c>
      <c r="J18" s="5">
        <v>738</v>
      </c>
      <c r="K18" s="5">
        <v>632.1</v>
      </c>
      <c r="L18" s="5">
        <v>706.2</v>
      </c>
      <c r="M18" s="5">
        <v>780.4</v>
      </c>
      <c r="P18" t="s">
        <v>52</v>
      </c>
      <c r="Q18" s="6">
        <f>CEILING($Q$15,$Q$16)</f>
        <v>1500</v>
      </c>
    </row>
    <row r="19" spans="1:55" x14ac:dyDescent="0.35">
      <c r="A19" t="s">
        <v>29</v>
      </c>
      <c r="B19" s="5">
        <v>950</v>
      </c>
      <c r="C19" s="5">
        <v>1033.8</v>
      </c>
      <c r="D19" s="5">
        <v>937.5</v>
      </c>
      <c r="E19" s="5">
        <v>1021.2</v>
      </c>
      <c r="F19" s="5">
        <v>1105</v>
      </c>
      <c r="G19" s="5">
        <v>1008.8</v>
      </c>
      <c r="H19" s="5">
        <v>1092.5</v>
      </c>
      <c r="I19" s="5">
        <v>1176.2</v>
      </c>
      <c r="J19" s="5">
        <v>1080</v>
      </c>
      <c r="K19" s="5">
        <v>1163.8</v>
      </c>
      <c r="L19" s="5">
        <v>1247.5</v>
      </c>
      <c r="M19" s="5">
        <v>1151.2</v>
      </c>
      <c r="P19" t="s">
        <v>53</v>
      </c>
      <c r="Q19" s="6">
        <f>MAX(0.000000001,$Q$18-$Q$17)</f>
        <v>1500</v>
      </c>
    </row>
    <row r="20" spans="1:55" x14ac:dyDescent="0.35">
      <c r="A20" t="s">
        <v>30</v>
      </c>
      <c r="B20" s="5">
        <v>790</v>
      </c>
      <c r="C20" s="5">
        <v>688.2</v>
      </c>
      <c r="D20" s="5">
        <v>766.5</v>
      </c>
      <c r="E20" s="5">
        <v>844.8</v>
      </c>
      <c r="F20" s="5">
        <v>743</v>
      </c>
      <c r="G20" s="5">
        <v>821.2</v>
      </c>
      <c r="H20" s="5">
        <v>899.5</v>
      </c>
      <c r="I20" s="5">
        <v>797.8</v>
      </c>
      <c r="J20" s="5">
        <v>876</v>
      </c>
      <c r="K20" s="5">
        <v>954.3</v>
      </c>
      <c r="L20" s="5">
        <v>852.5</v>
      </c>
      <c r="M20" s="5">
        <v>930.7</v>
      </c>
      <c r="P20" t="s">
        <v>54</v>
      </c>
      <c r="Q20" s="6">
        <f>(0-$Q$17)/$Q$19*$Q$13</f>
        <v>0</v>
      </c>
    </row>
    <row r="21" spans="1:55" x14ac:dyDescent="0.35">
      <c r="A21" t="s">
        <v>31</v>
      </c>
      <c r="B21" s="5">
        <v>450</v>
      </c>
      <c r="C21" s="5">
        <v>522.79999999999995</v>
      </c>
      <c r="D21" s="5">
        <v>595.5</v>
      </c>
      <c r="E21" s="5">
        <v>488.2</v>
      </c>
      <c r="F21" s="5">
        <v>561</v>
      </c>
      <c r="G21" s="5">
        <v>633.79999999999995</v>
      </c>
      <c r="H21" s="5">
        <v>526.5</v>
      </c>
      <c r="I21" s="5">
        <v>599.20000000000005</v>
      </c>
      <c r="J21" s="5">
        <v>672</v>
      </c>
      <c r="K21" s="5">
        <v>564.79999999999995</v>
      </c>
      <c r="L21" s="5">
        <v>637.5</v>
      </c>
      <c r="M21" s="5">
        <v>710.2</v>
      </c>
    </row>
    <row r="23" spans="1:55" x14ac:dyDescent="0.35">
      <c r="P23" s="1" t="s">
        <v>55</v>
      </c>
      <c r="Q23" s="1" t="s">
        <v>56</v>
      </c>
      <c r="R23" s="1" t="s">
        <v>57</v>
      </c>
      <c r="S23" s="1" t="s">
        <v>58</v>
      </c>
      <c r="T23" s="1" t="s">
        <v>59</v>
      </c>
      <c r="U23" s="1" t="s">
        <v>60</v>
      </c>
      <c r="V23" s="1" t="s">
        <v>61</v>
      </c>
      <c r="W23" s="1" t="s">
        <v>62</v>
      </c>
      <c r="X23" s="1" t="s">
        <v>63</v>
      </c>
      <c r="Y23" s="1" t="s">
        <v>64</v>
      </c>
      <c r="Z23" s="1" t="s">
        <v>75</v>
      </c>
      <c r="AA23" s="1" t="s">
        <v>65</v>
      </c>
      <c r="AB23" s="1" t="s">
        <v>76</v>
      </c>
      <c r="AC23" s="1" t="s">
        <v>66</v>
      </c>
      <c r="AD23" s="1" t="s">
        <v>77</v>
      </c>
      <c r="AE23" s="1" t="s">
        <v>67</v>
      </c>
      <c r="AF23" s="1" t="s">
        <v>78</v>
      </c>
      <c r="AG23" s="1" t="s">
        <v>68</v>
      </c>
      <c r="AH23" s="1"/>
      <c r="AI23" s="1" t="s">
        <v>70</v>
      </c>
      <c r="AJ23" s="1"/>
      <c r="AK23" s="1"/>
      <c r="AL23" s="1" t="s">
        <v>71</v>
      </c>
      <c r="AM23" s="1"/>
      <c r="AN23" s="1"/>
      <c r="AO23" s="1" t="s">
        <v>72</v>
      </c>
      <c r="AP23" s="1"/>
      <c r="AQ23" s="1"/>
      <c r="AR23" s="1" t="s">
        <v>73</v>
      </c>
      <c r="AS23" s="1"/>
      <c r="AT23" s="1"/>
      <c r="AU23" s="1"/>
      <c r="AV23" s="1" t="s">
        <v>74</v>
      </c>
      <c r="AW23" s="1"/>
      <c r="AX23" s="1"/>
      <c r="AY23" s="1"/>
      <c r="AZ23" s="1"/>
      <c r="BA23" s="1"/>
      <c r="BB23" s="1"/>
      <c r="BC23" s="1"/>
    </row>
    <row r="24" spans="1:55" x14ac:dyDescent="0.35">
      <c r="P24">
        <v>1</v>
      </c>
      <c r="Q24">
        <f>P24-$Q$12</f>
        <v>-2</v>
      </c>
      <c r="R24">
        <f>IF(Q24&lt;=0,-1,INT((Q24-1)/($Q$10+$Q$11)))</f>
        <v>-1</v>
      </c>
      <c r="S24">
        <f>IF(Q24&lt;=0,-1,MOD(Q24-1,($Q$10+$Q$11)))</f>
        <v>-1</v>
      </c>
      <c r="T24">
        <f>IF(OR(S24&lt;0,S24&gt;=$Q$10),-1,INT(S24/$Q$9))</f>
        <v>-1</v>
      </c>
      <c r="U24">
        <f>IF(OR(S24&lt;0,S24&gt;=$Q$10),-1,MOD(S24,$Q$9))</f>
        <v>-1</v>
      </c>
      <c r="V24">
        <f>IF(OR(Q24&lt;=0,S24&lt;0,S24&gt;=$Q$10,R24&gt;=$Q$7),1,0)</f>
        <v>1</v>
      </c>
      <c r="W24">
        <f>IF(V24=1,-1,T24)</f>
        <v>-1</v>
      </c>
      <c r="X24">
        <f>IF(V24=1,-1,R24)</f>
        <v>-1</v>
      </c>
      <c r="Y24" t="str">
        <f>IF(V24=1,"",IF(AND(MOD(W24,3)=0,U24=INT(($Q$9-1)/2)),INDEX($B$5:$M$5,W24+1),""))</f>
        <v/>
      </c>
      <c r="Z24" s="6">
        <f>0+$Q$20</f>
        <v>0</v>
      </c>
      <c r="AA24" t="e">
        <f>IF(OR(V24=1,U24&lt;&gt;0),NA(),(INDEX($B$6:$M$21,($Q$3-1-0)*$Q$4+X24+1,0*$Q$5+W24+1)-0)/$Q$19*$Q$13)</f>
        <v>#N/A</v>
      </c>
      <c r="AB24" s="6">
        <f>1+$Q$20-(0+$Q$20+_xlfn.AGGREGATE(9,6,AA24:AA24))</f>
        <v>1</v>
      </c>
      <c r="AC24" t="e">
        <f>IF(OR(V24=1,U24&lt;&gt;0),NA(),(INDEX($B$6:$M$21,($Q$3-1-1)*$Q$4+X24+1,0*$Q$5+W24+1)-0)/$Q$19*$Q$13)</f>
        <v>#N/A</v>
      </c>
      <c r="AD24" s="6">
        <f>2+$Q$20-(1+$Q$20+_xlfn.AGGREGATE(9,6,AC24:AC24))</f>
        <v>1</v>
      </c>
      <c r="AE24" t="e">
        <f>IF(OR(V24=1,U24&lt;&gt;0),NA(),(INDEX($B$6:$M$21,($Q$3-1-2)*$Q$4+X24+1,0*$Q$5+W24+1)-0)/$Q$19*$Q$13)</f>
        <v>#N/A</v>
      </c>
      <c r="AF24" s="6">
        <f>3+$Q$20-(2+$Q$20+_xlfn.AGGREGATE(9,6,AE24:AE24))</f>
        <v>1</v>
      </c>
      <c r="AG24" t="e">
        <f>IF(OR(V24=1,U24&lt;&gt;0),NA(),(INDEX($B$6:$M$21,($Q$3-1-3)*$Q$4+X24+1,0*$Q$5+W24+1)-0)/$Q$19*$Q$13)</f>
        <v>#N/A</v>
      </c>
      <c r="AI24">
        <v>16</v>
      </c>
      <c r="AJ24">
        <v>0</v>
      </c>
      <c r="AL24">
        <v>0.5</v>
      </c>
      <c r="AM24">
        <v>0.90999999999999992</v>
      </c>
      <c r="AO24">
        <v>3.5</v>
      </c>
      <c r="AP24">
        <f>IF(OR($Q$17&gt;0,$Q$18&lt;0),NA(),0+$Q$20)</f>
        <v>0</v>
      </c>
      <c r="AR24">
        <v>4</v>
      </c>
      <c r="AS24">
        <f>3+$Q$13+0.03</f>
        <v>3.8499999999999996</v>
      </c>
      <c r="AT24" t="str">
        <f>Column!$A$6</f>
        <v>Business partner 01</v>
      </c>
      <c r="AV24">
        <v>3.35</v>
      </c>
      <c r="AW24">
        <f>0+0*$Q$13</f>
        <v>0</v>
      </c>
      <c r="AX24" t="str">
        <f>TEXT($Q$17+($Q$18-$Q$17)*0,"#,##0")</f>
        <v>0</v>
      </c>
    </row>
    <row r="25" spans="1:55" x14ac:dyDescent="0.35">
      <c r="P25">
        <v>2</v>
      </c>
      <c r="Q25">
        <f>P25-$Q$12</f>
        <v>-1</v>
      </c>
      <c r="R25">
        <f>IF(Q25&lt;=0,-1,INT((Q25-1)/($Q$10+$Q$11)))</f>
        <v>-1</v>
      </c>
      <c r="S25">
        <f>IF(Q25&lt;=0,-1,MOD(Q25-1,($Q$10+$Q$11)))</f>
        <v>-1</v>
      </c>
      <c r="T25">
        <f>IF(OR(S25&lt;0,S25&gt;=$Q$10),-1,INT(S25/$Q$9))</f>
        <v>-1</v>
      </c>
      <c r="U25">
        <f>IF(OR(S25&lt;0,S25&gt;=$Q$10),-1,MOD(S25,$Q$9))</f>
        <v>-1</v>
      </c>
      <c r="V25">
        <f>IF(OR(Q25&lt;=0,S25&lt;0,S25&gt;=$Q$10,R25&gt;=$Q$7),1,0)</f>
        <v>1</v>
      </c>
      <c r="W25">
        <f>IF(V25=1,-1,T25)</f>
        <v>-1</v>
      </c>
      <c r="X25">
        <f>IF(V25=1,-1,R25)</f>
        <v>-1</v>
      </c>
      <c r="Y25" t="str">
        <f>IF(V25=1,"",IF(AND(MOD(W25,3)=0,U25=INT(($Q$9-1)/2)),INDEX($B$5:$M$5,W25+1),""))</f>
        <v/>
      </c>
      <c r="Z25" s="6">
        <f>0+$Q$20</f>
        <v>0</v>
      </c>
      <c r="AA25" t="e">
        <f>IF(OR(V25=1,U25&lt;&gt;0),NA(),(INDEX($B$6:$M$21,($Q$3-1-0)*$Q$4+X25+1,0*$Q$5+W25+1)-0)/$Q$19*$Q$13)</f>
        <v>#N/A</v>
      </c>
      <c r="AB25" s="6">
        <f>1+$Q$20-(0+$Q$20+_xlfn.AGGREGATE(9,6,AA25:AA25))</f>
        <v>1</v>
      </c>
      <c r="AC25" t="e">
        <f>IF(OR(V25=1,U25&lt;&gt;0),NA(),(INDEX($B$6:$M$21,($Q$3-1-1)*$Q$4+X25+1,0*$Q$5+W25+1)-0)/$Q$19*$Q$13)</f>
        <v>#N/A</v>
      </c>
      <c r="AD25" s="6">
        <f>2+$Q$20-(1+$Q$20+_xlfn.AGGREGATE(9,6,AC25:AC25))</f>
        <v>1</v>
      </c>
      <c r="AE25" t="e">
        <f>IF(OR(V25=1,U25&lt;&gt;0),NA(),(INDEX($B$6:$M$21,($Q$3-1-2)*$Q$4+X25+1,0*$Q$5+W25+1)-0)/$Q$19*$Q$13)</f>
        <v>#N/A</v>
      </c>
      <c r="AF25" s="6">
        <f>3+$Q$20-(2+$Q$20+_xlfn.AGGREGATE(9,6,AE25:AE25))</f>
        <v>1</v>
      </c>
      <c r="AG25" t="e">
        <f>IF(OR(V25=1,U25&lt;&gt;0),NA(),(INDEX($B$6:$M$21,($Q$3-1-3)*$Q$4+X25+1,0*$Q$5+W25+1)-0)/$Q$19*$Q$13)</f>
        <v>#N/A</v>
      </c>
      <c r="AI25">
        <v>16</v>
      </c>
      <c r="AJ25">
        <v>4</v>
      </c>
      <c r="AL25">
        <v>54.5</v>
      </c>
      <c r="AM25">
        <v>0.90999999999999992</v>
      </c>
      <c r="AO25">
        <v>15.5</v>
      </c>
      <c r="AP25">
        <f>IF(OR($Q$17&gt;0,$Q$18&lt;0),NA(),0+$Q$20)</f>
        <v>0</v>
      </c>
      <c r="AR25">
        <v>17</v>
      </c>
      <c r="AS25">
        <f>3+$Q$13+0.03</f>
        <v>3.8499999999999996</v>
      </c>
      <c r="AT25" t="str">
        <f>Column!$A$7</f>
        <v>Business partner 02</v>
      </c>
      <c r="AV25">
        <v>3.35</v>
      </c>
      <c r="AW25">
        <f>0+0.5*$Q$13</f>
        <v>0.41</v>
      </c>
      <c r="AX25" t="str">
        <f>TEXT($Q$17+($Q$18-$Q$17)*0.5,"#,##0")</f>
        <v>750</v>
      </c>
    </row>
    <row r="26" spans="1:55" x14ac:dyDescent="0.35">
      <c r="P26">
        <v>3</v>
      </c>
      <c r="Q26">
        <f>P26-$Q$12</f>
        <v>0</v>
      </c>
      <c r="R26">
        <f>IF(Q26&lt;=0,-1,INT((Q26-1)/($Q$10+$Q$11)))</f>
        <v>-1</v>
      </c>
      <c r="S26">
        <f>IF(Q26&lt;=0,-1,MOD(Q26-1,($Q$10+$Q$11)))</f>
        <v>-1</v>
      </c>
      <c r="T26">
        <f>IF(OR(S26&lt;0,S26&gt;=$Q$10),-1,INT(S26/$Q$9))</f>
        <v>-1</v>
      </c>
      <c r="U26">
        <f>IF(OR(S26&lt;0,S26&gt;=$Q$10),-1,MOD(S26,$Q$9))</f>
        <v>-1</v>
      </c>
      <c r="V26">
        <f>IF(OR(Q26&lt;=0,S26&lt;0,S26&gt;=$Q$10,R26&gt;=$Q$7),1,0)</f>
        <v>1</v>
      </c>
      <c r="W26">
        <f>IF(V26=1,-1,T26)</f>
        <v>-1</v>
      </c>
      <c r="X26">
        <f>IF(V26=1,-1,R26)</f>
        <v>-1</v>
      </c>
      <c r="Y26" t="str">
        <f>IF(V26=1,"",IF(AND(MOD(W26,3)=0,U26=INT(($Q$9-1)/2)),INDEX($B$5:$M$5,W26+1),""))</f>
        <v/>
      </c>
      <c r="Z26" s="6">
        <f>0+$Q$20</f>
        <v>0</v>
      </c>
      <c r="AA26" t="e">
        <f>IF(OR(V26=1,U26&lt;&gt;0),NA(),(INDEX($B$6:$M$21,($Q$3-1-0)*$Q$4+X26+1,0*$Q$5+W26+1)-0)/$Q$19*$Q$13)</f>
        <v>#N/A</v>
      </c>
      <c r="AB26" s="6">
        <f>1+$Q$20-(0+$Q$20+_xlfn.AGGREGATE(9,6,AA26:AA26))</f>
        <v>1</v>
      </c>
      <c r="AC26" t="e">
        <f>IF(OR(V26=1,U26&lt;&gt;0),NA(),(INDEX($B$6:$M$21,($Q$3-1-1)*$Q$4+X26+1,0*$Q$5+W26+1)-0)/$Q$19*$Q$13)</f>
        <v>#N/A</v>
      </c>
      <c r="AD26" s="6">
        <f>2+$Q$20-(1+$Q$20+_xlfn.AGGREGATE(9,6,AC26:AC26))</f>
        <v>1</v>
      </c>
      <c r="AE26" t="e">
        <f>IF(OR(V26=1,U26&lt;&gt;0),NA(),(INDEX($B$6:$M$21,($Q$3-1-2)*$Q$4+X26+1,0*$Q$5+W26+1)-0)/$Q$19*$Q$13)</f>
        <v>#N/A</v>
      </c>
      <c r="AF26" s="6">
        <f>3+$Q$20-(2+$Q$20+_xlfn.AGGREGATE(9,6,AE26:AE26))</f>
        <v>1</v>
      </c>
      <c r="AG26" t="e">
        <f>IF(OR(V26=1,U26&lt;&gt;0),NA(),(INDEX($B$6:$M$21,($Q$3-1-3)*$Q$4+X26+1,0*$Q$5+W26+1)-0)/$Q$19*$Q$13)</f>
        <v>#N/A</v>
      </c>
      <c r="AI26">
        <v>16</v>
      </c>
      <c r="AJ26" t="e">
        <f>NA()</f>
        <v>#N/A</v>
      </c>
      <c r="AL26">
        <v>54.5</v>
      </c>
      <c r="AM26" t="e">
        <f>NA()</f>
        <v>#N/A</v>
      </c>
      <c r="AO26">
        <v>15.5</v>
      </c>
      <c r="AP26" t="e">
        <f>NA()</f>
        <v>#N/A</v>
      </c>
      <c r="AR26">
        <v>30</v>
      </c>
      <c r="AS26">
        <f>3+$Q$13+0.03</f>
        <v>3.8499999999999996</v>
      </c>
      <c r="AT26" t="str">
        <f>Column!$A$8</f>
        <v>Business partner 03</v>
      </c>
      <c r="AV26">
        <v>3.35</v>
      </c>
      <c r="AW26">
        <f>0+1*$Q$13</f>
        <v>0.82</v>
      </c>
      <c r="AX26" t="str">
        <f>TEXT($Q$17+($Q$18-$Q$17)*1,"#,##0")</f>
        <v>1,500</v>
      </c>
    </row>
    <row r="27" spans="1:55" x14ac:dyDescent="0.35">
      <c r="P27">
        <v>4</v>
      </c>
      <c r="Q27">
        <f>P27-$Q$12</f>
        <v>1</v>
      </c>
      <c r="R27">
        <f>IF(Q27&lt;=0,-1,INT((Q27-1)/($Q$10+$Q$11)))</f>
        <v>0</v>
      </c>
      <c r="S27">
        <f>IF(Q27&lt;=0,-1,MOD(Q27-1,($Q$10+$Q$11)))</f>
        <v>0</v>
      </c>
      <c r="T27">
        <f>IF(OR(S27&lt;0,S27&gt;=$Q$10),-1,INT(S27/$Q$9))</f>
        <v>0</v>
      </c>
      <c r="U27">
        <f>IF(OR(S27&lt;0,S27&gt;=$Q$10),-1,MOD(S27,$Q$9))</f>
        <v>0</v>
      </c>
      <c r="V27">
        <f>IF(OR(Q27&lt;=0,S27&lt;0,S27&gt;=$Q$10,R27&gt;=$Q$7),1,0)</f>
        <v>0</v>
      </c>
      <c r="W27">
        <f>IF(V27=1,-1,T27)</f>
        <v>0</v>
      </c>
      <c r="X27">
        <f>IF(V27=1,-1,R27)</f>
        <v>0</v>
      </c>
      <c r="Y27" t="str">
        <f>IF(V27=1,"",IF(AND(MOD(W27,3)=0,U27=INT(($Q$9-1)/2)),INDEX($B$5:$M$5,W27+1),""))</f>
        <v>Jan</v>
      </c>
      <c r="Z27" s="6">
        <f>0+$Q$20</f>
        <v>0</v>
      </c>
      <c r="AA27">
        <f>IF(OR(V27=1,U27&lt;&gt;0),NA(),(INDEX($B$6:$M$21,($Q$3-1-0)*$Q$4+X27+1,0*$Q$5+W27+1)-0)/$Q$19*$Q$13)</f>
        <v>0.27606666666666663</v>
      </c>
      <c r="AB27" s="6">
        <f>1+$Q$20-(0+$Q$20+_xlfn.AGGREGATE(9,6,AA27:AA27))</f>
        <v>0.72393333333333332</v>
      </c>
      <c r="AC27">
        <f>IF(OR(V27=1,U27&lt;&gt;0),NA(),(INDEX($B$6:$M$21,($Q$3-1-1)*$Q$4+X27+1,0*$Q$5+W27+1)-0)/$Q$19*$Q$13)</f>
        <v>0.49199999999999994</v>
      </c>
      <c r="AD27" s="6">
        <f>2+$Q$20-(1+$Q$20+_xlfn.AGGREGATE(9,6,AC27:AC27))</f>
        <v>0.50800000000000001</v>
      </c>
      <c r="AE27">
        <f>IF(OR(V27=1,U27&lt;&gt;0),NA(),(INDEX($B$6:$M$21,($Q$3-1-2)*$Q$4+X27+1,0*$Q$5+W27+1)-0)/$Q$19*$Q$13)</f>
        <v>0.27879999999999999</v>
      </c>
      <c r="AF27" s="6">
        <f>3+$Q$20-(2+$Q$20+_xlfn.AGGREGATE(9,6,AE27:AE27))</f>
        <v>0.72120000000000006</v>
      </c>
      <c r="AG27">
        <f>IF(OR(V27=1,U27&lt;&gt;0),NA(),(INDEX($B$6:$M$21,($Q$3-1-3)*$Q$4+X27+1,0*$Q$5+W27+1)-0)/$Q$19*$Q$13)</f>
        <v>0.39633333333333332</v>
      </c>
      <c r="AI27">
        <v>29</v>
      </c>
      <c r="AJ27">
        <v>0</v>
      </c>
      <c r="AL27">
        <v>0.5</v>
      </c>
      <c r="AM27">
        <v>1.91</v>
      </c>
      <c r="AO27">
        <v>16.5</v>
      </c>
      <c r="AP27">
        <f>IF(OR($Q$17&gt;0,$Q$18&lt;0),NA(),0+$Q$20)</f>
        <v>0</v>
      </c>
      <c r="AR27">
        <v>43</v>
      </c>
      <c r="AS27">
        <f>3+$Q$13+0.03</f>
        <v>3.8499999999999996</v>
      </c>
      <c r="AT27" t="str">
        <f>Column!$A$9</f>
        <v>Business partner 04</v>
      </c>
      <c r="AV27">
        <v>3.35</v>
      </c>
      <c r="AW27">
        <f>1+0*$Q$13</f>
        <v>1</v>
      </c>
      <c r="AX27" t="str">
        <f>TEXT($Q$17+($Q$18-$Q$17)*0,"#,##0")</f>
        <v>0</v>
      </c>
    </row>
    <row r="28" spans="1:55" x14ac:dyDescent="0.35">
      <c r="P28">
        <v>5</v>
      </c>
      <c r="Q28">
        <f>P28-$Q$12</f>
        <v>2</v>
      </c>
      <c r="R28">
        <f>IF(Q28&lt;=0,-1,INT((Q28-1)/($Q$10+$Q$11)))</f>
        <v>0</v>
      </c>
      <c r="S28">
        <f>IF(Q28&lt;=0,-1,MOD(Q28-1,($Q$10+$Q$11)))</f>
        <v>1</v>
      </c>
      <c r="T28">
        <f>IF(OR(S28&lt;0,S28&gt;=$Q$10),-1,INT(S28/$Q$9))</f>
        <v>1</v>
      </c>
      <c r="U28">
        <f>IF(OR(S28&lt;0,S28&gt;=$Q$10),-1,MOD(S28,$Q$9))</f>
        <v>0</v>
      </c>
      <c r="V28">
        <f>IF(OR(Q28&lt;=0,S28&lt;0,S28&gt;=$Q$10,R28&gt;=$Q$7),1,0)</f>
        <v>0</v>
      </c>
      <c r="W28">
        <f>IF(V28=1,-1,T28)</f>
        <v>1</v>
      </c>
      <c r="X28">
        <f>IF(V28=1,-1,R28)</f>
        <v>0</v>
      </c>
      <c r="Y28" t="str">
        <f>IF(V28=1,"",IF(AND(MOD(W28,3)=0,U28=INT(($Q$9-1)/2)),INDEX($B$5:$M$5,W28+1),""))</f>
        <v/>
      </c>
      <c r="Z28" s="6">
        <f>0+$Q$20</f>
        <v>0</v>
      </c>
      <c r="AA28">
        <f>IF(OR(V28=1,U28&lt;&gt;0),NA(),(INDEX($B$6:$M$21,($Q$3-1-0)*$Q$4+X28+1,0*$Q$5+W28+1)-0)/$Q$19*$Q$13)</f>
        <v>0.31657466666666667</v>
      </c>
      <c r="AB28" s="6">
        <f>1+$Q$20-(0+$Q$20+_xlfn.AGGREGATE(9,6,AA28:AA28))</f>
        <v>0.68342533333333333</v>
      </c>
      <c r="AC28">
        <f>IF(OR(V28=1,U28&lt;&gt;0),NA(),(INDEX($B$6:$M$21,($Q$3-1-1)*$Q$4+X28+1,0*$Q$5+W28+1)-0)/$Q$19*$Q$13)</f>
        <v>0.43787999999999999</v>
      </c>
      <c r="AD28" s="6">
        <f>2+$Q$20-(1+$Q$20+_xlfn.AGGREGATE(9,6,AC28:AC28))</f>
        <v>0.56211999999999995</v>
      </c>
      <c r="AE28">
        <f>IF(OR(V28=1,U28&lt;&gt;0),NA(),(INDEX($B$6:$M$21,($Q$3-1-2)*$Q$4+X28+1,0*$Q$5+W28+1)-0)/$Q$19*$Q$13)</f>
        <v>0.31859733333333329</v>
      </c>
      <c r="AF28" s="6">
        <f>3+$Q$20-(2+$Q$20+_xlfn.AGGREGATE(9,6,AE28:AE28))</f>
        <v>0.6814026666666666</v>
      </c>
      <c r="AG28">
        <f>IF(OR(V28=1,U28&lt;&gt;0),NA(),(INDEX($B$6:$M$21,($Q$3-1-3)*$Q$4+X28+1,0*$Q$5+W28+1)-0)/$Q$19*$Q$13)</f>
        <v>0.43984799999999996</v>
      </c>
      <c r="AI28">
        <v>29</v>
      </c>
      <c r="AJ28">
        <v>4</v>
      </c>
      <c r="AL28">
        <v>54.5</v>
      </c>
      <c r="AM28">
        <v>1.91</v>
      </c>
      <c r="AO28">
        <v>28.5</v>
      </c>
      <c r="AP28">
        <f>IF(OR($Q$17&gt;0,$Q$18&lt;0),NA(),0+$Q$20)</f>
        <v>0</v>
      </c>
      <c r="AR28">
        <v>4</v>
      </c>
      <c r="AS28">
        <f>2+$Q$13+0.03</f>
        <v>2.8499999999999996</v>
      </c>
      <c r="AT28" t="str">
        <f>Column!$A$10</f>
        <v>Business partner 05</v>
      </c>
      <c r="AV28">
        <v>3.35</v>
      </c>
      <c r="AW28">
        <f>1+0.5*$Q$13</f>
        <v>1.41</v>
      </c>
      <c r="AX28" t="str">
        <f>TEXT($Q$17+($Q$18-$Q$17)*0.5,"#,##0")</f>
        <v>750</v>
      </c>
    </row>
    <row r="29" spans="1:55" x14ac:dyDescent="0.35">
      <c r="P29">
        <v>6</v>
      </c>
      <c r="Q29">
        <f>P29-$Q$12</f>
        <v>3</v>
      </c>
      <c r="R29">
        <f>IF(Q29&lt;=0,-1,INT((Q29-1)/($Q$10+$Q$11)))</f>
        <v>0</v>
      </c>
      <c r="S29">
        <f>IF(Q29&lt;=0,-1,MOD(Q29-1,($Q$10+$Q$11)))</f>
        <v>2</v>
      </c>
      <c r="T29">
        <f>IF(OR(S29&lt;0,S29&gt;=$Q$10),-1,INT(S29/$Q$9))</f>
        <v>2</v>
      </c>
      <c r="U29">
        <f>IF(OR(S29&lt;0,S29&gt;=$Q$10),-1,MOD(S29,$Q$9))</f>
        <v>0</v>
      </c>
      <c r="V29">
        <f>IF(OR(Q29&lt;=0,S29&lt;0,S29&gt;=$Q$10,R29&gt;=$Q$7),1,0)</f>
        <v>0</v>
      </c>
      <c r="W29">
        <f>IF(V29=1,-1,T29)</f>
        <v>2</v>
      </c>
      <c r="X29">
        <f>IF(V29=1,-1,R29)</f>
        <v>0</v>
      </c>
      <c r="Y29" t="str">
        <f>IF(V29=1,"",IF(AND(MOD(W29,3)=0,U29=INT(($Q$9-1)/2)),INDEX($B$5:$M$5,W29+1),""))</f>
        <v/>
      </c>
      <c r="Z29" s="6">
        <f>0+$Q$20</f>
        <v>0</v>
      </c>
      <c r="AA29">
        <f>IF(OR(V29=1,U29&lt;&gt;0),NA(),(INDEX($B$6:$M$21,($Q$3-1-0)*$Q$4+X29+1,0*$Q$5+W29+1)-0)/$Q$19*$Q$13)</f>
        <v>0.35708266666666671</v>
      </c>
      <c r="AB29" s="6">
        <f>1+$Q$20-(0+$Q$20+_xlfn.AGGREGATE(9,6,AA29:AA29))</f>
        <v>0.64291733333333334</v>
      </c>
      <c r="AC29">
        <f>IF(OR(V29=1,U29&lt;&gt;0),NA(),(INDEX($B$6:$M$21,($Q$3-1-1)*$Q$4+X29+1,0*$Q$5+W29+1)-0)/$Q$19*$Q$13)</f>
        <v>0.48215999999999992</v>
      </c>
      <c r="AD29" s="6">
        <f>2+$Q$20-(1+$Q$20+_xlfn.AGGREGATE(9,6,AC29:AC29))</f>
        <v>0.51784000000000008</v>
      </c>
      <c r="AE29">
        <f>IF(OR(V29=1,U29&lt;&gt;0),NA(),(INDEX($B$6:$M$21,($Q$3-1-2)*$Q$4+X29+1,0*$Q$5+W29+1)-0)/$Q$19*$Q$13)</f>
        <v>0.25994</v>
      </c>
      <c r="AF29" s="6">
        <f>3+$Q$20-(2+$Q$20+_xlfn.AGGREGATE(9,6,AE29:AE29))</f>
        <v>0.74006000000000016</v>
      </c>
      <c r="AG29">
        <f>IF(OR(V29=1,U29&lt;&gt;0),NA(),(INDEX($B$6:$M$21,($Q$3-1-3)*$Q$4+X29+1,0*$Q$5+W29+1)-0)/$Q$19*$Q$13)</f>
        <v>0.48336266666666666</v>
      </c>
      <c r="AI29">
        <v>29</v>
      </c>
      <c r="AJ29" t="e">
        <f>NA()</f>
        <v>#N/A</v>
      </c>
      <c r="AL29">
        <v>54.5</v>
      </c>
      <c r="AM29" t="e">
        <f>NA()</f>
        <v>#N/A</v>
      </c>
      <c r="AO29">
        <v>28.5</v>
      </c>
      <c r="AP29" t="e">
        <f>NA()</f>
        <v>#N/A</v>
      </c>
      <c r="AR29">
        <v>17</v>
      </c>
      <c r="AS29">
        <f>2+$Q$13+0.03</f>
        <v>2.8499999999999996</v>
      </c>
      <c r="AT29" t="str">
        <f>Column!$A$11</f>
        <v>Business partner 06</v>
      </c>
      <c r="AV29">
        <v>3.35</v>
      </c>
      <c r="AW29">
        <f>1+1*$Q$13</f>
        <v>1.8199999999999998</v>
      </c>
      <c r="AX29" t="str">
        <f>TEXT($Q$17+($Q$18-$Q$17)*1,"#,##0")</f>
        <v>1,500</v>
      </c>
    </row>
    <row r="30" spans="1:55" x14ac:dyDescent="0.35">
      <c r="P30">
        <v>7</v>
      </c>
      <c r="Q30">
        <f>P30-$Q$12</f>
        <v>4</v>
      </c>
      <c r="R30">
        <f>IF(Q30&lt;=0,-1,INT((Q30-1)/($Q$10+$Q$11)))</f>
        <v>0</v>
      </c>
      <c r="S30">
        <f>IF(Q30&lt;=0,-1,MOD(Q30-1,($Q$10+$Q$11)))</f>
        <v>3</v>
      </c>
      <c r="T30">
        <f>IF(OR(S30&lt;0,S30&gt;=$Q$10),-1,INT(S30/$Q$9))</f>
        <v>3</v>
      </c>
      <c r="U30">
        <f>IF(OR(S30&lt;0,S30&gt;=$Q$10),-1,MOD(S30,$Q$9))</f>
        <v>0</v>
      </c>
      <c r="V30">
        <f>IF(OR(Q30&lt;=0,S30&lt;0,S30&gt;=$Q$10,R30&gt;=$Q$7),1,0)</f>
        <v>0</v>
      </c>
      <c r="W30">
        <f>IF(V30=1,-1,T30)</f>
        <v>3</v>
      </c>
      <c r="X30">
        <f>IF(V30=1,-1,R30)</f>
        <v>0</v>
      </c>
      <c r="Y30" t="str">
        <f>IF(V30=1,"",IF(AND(MOD(W30,3)=0,U30=INT(($Q$9-1)/2)),INDEX($B$5:$M$5,W30+1),""))</f>
        <v>Apr</v>
      </c>
      <c r="Z30" s="6">
        <f>0+$Q$20</f>
        <v>0</v>
      </c>
      <c r="AA30">
        <f>IF(OR(V30=1,U30&lt;&gt;0),NA(),(INDEX($B$6:$M$21,($Q$3-1-0)*$Q$4+X30+1,0*$Q$5+W30+1)-0)/$Q$19*$Q$13)</f>
        <v>0.29924533333333331</v>
      </c>
      <c r="AB30" s="6">
        <f>1+$Q$20-(0+$Q$20+_xlfn.AGGREGATE(9,6,AA30:AA30))</f>
        <v>0.70075466666666664</v>
      </c>
      <c r="AC30">
        <f>IF(OR(V30=1,U30&lt;&gt;0),NA(),(INDEX($B$6:$M$21,($Q$3-1-1)*$Q$4+X30+1,0*$Q$5+W30+1)-0)/$Q$19*$Q$13)</f>
        <v>0.52644000000000002</v>
      </c>
      <c r="AD30" s="6">
        <f>2+$Q$20-(1+$Q$20+_xlfn.AGGREGATE(9,6,AC30:AC30))</f>
        <v>0.47355999999999998</v>
      </c>
      <c r="AE30">
        <f>IF(OR(V30=1,U30&lt;&gt;0),NA(),(INDEX($B$6:$M$21,($Q$3-1-2)*$Q$4+X30+1,0*$Q$5+W30+1)-0)/$Q$19*$Q$13)</f>
        <v>0.29968266666666671</v>
      </c>
      <c r="AF30" s="6">
        <f>3+$Q$20-(2+$Q$20+_xlfn.AGGREGATE(9,6,AE30:AE30))</f>
        <v>0.70031733333333346</v>
      </c>
      <c r="AG30">
        <f>IF(OR(V30=1,U30&lt;&gt;0),NA(),(INDEX($B$6:$M$21,($Q$3-1-3)*$Q$4+X30+1,0*$Q$5+W30+1)-0)/$Q$19*$Q$13)</f>
        <v>0.42853199999999991</v>
      </c>
      <c r="AI30">
        <v>42</v>
      </c>
      <c r="AJ30">
        <v>0</v>
      </c>
      <c r="AL30">
        <v>0.5</v>
      </c>
      <c r="AM30">
        <v>2.91</v>
      </c>
      <c r="AO30">
        <v>29.5</v>
      </c>
      <c r="AP30">
        <f>IF(OR($Q$17&gt;0,$Q$18&lt;0),NA(),0+$Q$20)</f>
        <v>0</v>
      </c>
      <c r="AR30">
        <v>30</v>
      </c>
      <c r="AS30">
        <f>2+$Q$13+0.03</f>
        <v>2.8499999999999996</v>
      </c>
      <c r="AT30" t="str">
        <f>Column!$A$12</f>
        <v>Business partner 07</v>
      </c>
      <c r="AV30">
        <v>3.35</v>
      </c>
      <c r="AW30">
        <f>2+0*$Q$13</f>
        <v>2</v>
      </c>
      <c r="AX30" t="str">
        <f>TEXT($Q$17+($Q$18-$Q$17)*0,"#,##0")</f>
        <v>0</v>
      </c>
    </row>
    <row r="31" spans="1:55" x14ac:dyDescent="0.35">
      <c r="P31">
        <v>8</v>
      </c>
      <c r="Q31">
        <f>P31-$Q$12</f>
        <v>5</v>
      </c>
      <c r="R31">
        <f>IF(Q31&lt;=0,-1,INT((Q31-1)/($Q$10+$Q$11)))</f>
        <v>0</v>
      </c>
      <c r="S31">
        <f>IF(Q31&lt;=0,-1,MOD(Q31-1,($Q$10+$Q$11)))</f>
        <v>4</v>
      </c>
      <c r="T31">
        <f>IF(OR(S31&lt;0,S31&gt;=$Q$10),-1,INT(S31/$Q$9))</f>
        <v>4</v>
      </c>
      <c r="U31">
        <f>IF(OR(S31&lt;0,S31&gt;=$Q$10),-1,MOD(S31,$Q$9))</f>
        <v>0</v>
      </c>
      <c r="V31">
        <f>IF(OR(Q31&lt;=0,S31&lt;0,S31&gt;=$Q$10,R31&gt;=$Q$7),1,0)</f>
        <v>0</v>
      </c>
      <c r="W31">
        <f>IF(V31=1,-1,T31)</f>
        <v>4</v>
      </c>
      <c r="X31">
        <f>IF(V31=1,-1,R31)</f>
        <v>0</v>
      </c>
      <c r="Y31" t="str">
        <f>IF(V31=1,"",IF(AND(MOD(W31,3)=0,U31=INT(($Q$9-1)/2)),INDEX($B$5:$M$5,W31+1),""))</f>
        <v/>
      </c>
      <c r="Z31" s="6">
        <f>0+$Q$20</f>
        <v>0</v>
      </c>
      <c r="AA31">
        <f>IF(OR(V31=1,U31&lt;&gt;0),NA(),(INDEX($B$6:$M$21,($Q$3-1-0)*$Q$4+X31+1,0*$Q$5+W31+1)-0)/$Q$19*$Q$13)</f>
        <v>0.3397533333333333</v>
      </c>
      <c r="AB31" s="6">
        <f>1+$Q$20-(0+$Q$20+_xlfn.AGGREGATE(9,6,AA31:AA31))</f>
        <v>0.66024666666666665</v>
      </c>
      <c r="AC31">
        <f>IF(OR(V31=1,U31&lt;&gt;0),NA(),(INDEX($B$6:$M$21,($Q$3-1-1)*$Q$4+X31+1,0*$Q$5+W31+1)-0)/$Q$19*$Q$13)</f>
        <v>0.47231999999999996</v>
      </c>
      <c r="AD31" s="6">
        <f>2+$Q$20-(1+$Q$20+_xlfn.AGGREGATE(9,6,AC31:AC31))</f>
        <v>0.52768000000000015</v>
      </c>
      <c r="AE31">
        <f>IF(OR(V31=1,U31&lt;&gt;0),NA(),(INDEX($B$6:$M$21,($Q$3-1-2)*$Q$4+X31+1,0*$Q$5+W31+1)-0)/$Q$19*$Q$13)</f>
        <v>0.33947999999999995</v>
      </c>
      <c r="AF31" s="6">
        <f>3+$Q$20-(2+$Q$20+_xlfn.AGGREGATE(9,6,AE31:AE31))</f>
        <v>0.66052</v>
      </c>
      <c r="AG31">
        <f>IF(OR(V31=1,U31&lt;&gt;0),NA(),(INDEX($B$6:$M$21,($Q$3-1-3)*$Q$4+X31+1,0*$Q$5+W31+1)-0)/$Q$19*$Q$13)</f>
        <v>0.47204666666666661</v>
      </c>
      <c r="AI31">
        <v>42</v>
      </c>
      <c r="AJ31">
        <v>4</v>
      </c>
      <c r="AL31">
        <v>54.5</v>
      </c>
      <c r="AM31">
        <v>2.91</v>
      </c>
      <c r="AO31">
        <v>41.5</v>
      </c>
      <c r="AP31">
        <f>IF(OR($Q$17&gt;0,$Q$18&lt;0),NA(),0+$Q$20)</f>
        <v>0</v>
      </c>
      <c r="AR31">
        <v>43</v>
      </c>
      <c r="AS31">
        <f>2+$Q$13+0.03</f>
        <v>2.8499999999999996</v>
      </c>
      <c r="AT31" t="str">
        <f>Column!$A$13</f>
        <v>Business partner 08</v>
      </c>
      <c r="AV31">
        <v>3.35</v>
      </c>
      <c r="AW31">
        <f>2+0.5*$Q$13</f>
        <v>2.41</v>
      </c>
      <c r="AX31" t="str">
        <f>TEXT($Q$17+($Q$18-$Q$17)*0.5,"#,##0")</f>
        <v>750</v>
      </c>
    </row>
    <row r="32" spans="1:55" x14ac:dyDescent="0.35">
      <c r="P32">
        <v>9</v>
      </c>
      <c r="Q32">
        <f>P32-$Q$12</f>
        <v>6</v>
      </c>
      <c r="R32">
        <f>IF(Q32&lt;=0,-1,INT((Q32-1)/($Q$10+$Q$11)))</f>
        <v>0</v>
      </c>
      <c r="S32">
        <f>IF(Q32&lt;=0,-1,MOD(Q32-1,($Q$10+$Q$11)))</f>
        <v>5</v>
      </c>
      <c r="T32">
        <f>IF(OR(S32&lt;0,S32&gt;=$Q$10),-1,INT(S32/$Q$9))</f>
        <v>5</v>
      </c>
      <c r="U32">
        <f>IF(OR(S32&lt;0,S32&gt;=$Q$10),-1,MOD(S32,$Q$9))</f>
        <v>0</v>
      </c>
      <c r="V32">
        <f>IF(OR(Q32&lt;=0,S32&lt;0,S32&gt;=$Q$10,R32&gt;=$Q$7),1,0)</f>
        <v>0</v>
      </c>
      <c r="W32">
        <f>IF(V32=1,-1,T32)</f>
        <v>5</v>
      </c>
      <c r="X32">
        <f>IF(V32=1,-1,R32)</f>
        <v>0</v>
      </c>
      <c r="Y32" t="str">
        <f>IF(V32=1,"",IF(AND(MOD(W32,3)=0,U32=INT(($Q$9-1)/2)),INDEX($B$5:$M$5,W32+1),""))</f>
        <v/>
      </c>
      <c r="Z32" s="6">
        <f>0+$Q$20</f>
        <v>0</v>
      </c>
      <c r="AA32">
        <f>IF(OR(V32=1,U32&lt;&gt;0),NA(),(INDEX($B$6:$M$21,($Q$3-1-0)*$Q$4+X32+1,0*$Q$5+W32+1)-0)/$Q$19*$Q$13)</f>
        <v>0.38026133333333328</v>
      </c>
      <c r="AB32" s="6">
        <f>1+$Q$20-(0+$Q$20+_xlfn.AGGREGATE(9,6,AA32:AA32))</f>
        <v>0.61973866666666666</v>
      </c>
      <c r="AC32">
        <f>IF(OR(V32=1,U32&lt;&gt;0),NA(),(INDEX($B$6:$M$21,($Q$3-1-1)*$Q$4+X32+1,0*$Q$5+W32+1)-0)/$Q$19*$Q$13)</f>
        <v>0.51659999999999995</v>
      </c>
      <c r="AD32" s="6">
        <f>2+$Q$20-(1+$Q$20+_xlfn.AGGREGATE(9,6,AC32:AC32))</f>
        <v>0.48340000000000005</v>
      </c>
      <c r="AE32">
        <f>IF(OR(V32=1,U32&lt;&gt;0),NA(),(INDEX($B$6:$M$21,($Q$3-1-2)*$Q$4+X32+1,0*$Q$5+W32+1)-0)/$Q$19*$Q$13)</f>
        <v>0.28087733333333331</v>
      </c>
      <c r="AF32" s="6">
        <f>3+$Q$20-(2+$Q$20+_xlfn.AGGREGATE(9,6,AE32:AE32))</f>
        <v>0.7191226666666668</v>
      </c>
      <c r="AG32">
        <f>IF(OR(V32=1,U32&lt;&gt;0),NA(),(INDEX($B$6:$M$21,($Q$3-1-3)*$Q$4+X32+1,0*$Q$5+W32+1)-0)/$Q$19*$Q$13)</f>
        <v>0.51556133333333332</v>
      </c>
      <c r="AI32">
        <v>42</v>
      </c>
      <c r="AJ32" t="e">
        <f>NA()</f>
        <v>#N/A</v>
      </c>
      <c r="AL32">
        <v>54.5</v>
      </c>
      <c r="AM32" t="e">
        <f>NA()</f>
        <v>#N/A</v>
      </c>
      <c r="AO32">
        <v>41.5</v>
      </c>
      <c r="AP32" t="e">
        <f>NA()</f>
        <v>#N/A</v>
      </c>
      <c r="AR32">
        <v>4</v>
      </c>
      <c r="AS32">
        <f>1+$Q$13+0.03</f>
        <v>1.8499999999999999</v>
      </c>
      <c r="AT32" t="str">
        <f>Column!$A$14</f>
        <v>Business partner 09</v>
      </c>
      <c r="AV32">
        <v>3.35</v>
      </c>
      <c r="AW32">
        <f>2+1*$Q$13</f>
        <v>2.82</v>
      </c>
      <c r="AX32" t="str">
        <f>TEXT($Q$17+($Q$18-$Q$17)*1,"#,##0")</f>
        <v>1,500</v>
      </c>
    </row>
    <row r="33" spans="16:50" x14ac:dyDescent="0.35">
      <c r="P33">
        <v>10</v>
      </c>
      <c r="Q33">
        <f>P33-$Q$12</f>
        <v>7</v>
      </c>
      <c r="R33">
        <f>IF(Q33&lt;=0,-1,INT((Q33-1)/($Q$10+$Q$11)))</f>
        <v>0</v>
      </c>
      <c r="S33">
        <f>IF(Q33&lt;=0,-1,MOD(Q33-1,($Q$10+$Q$11)))</f>
        <v>6</v>
      </c>
      <c r="T33">
        <f>IF(OR(S33&lt;0,S33&gt;=$Q$10),-1,INT(S33/$Q$9))</f>
        <v>6</v>
      </c>
      <c r="U33">
        <f>IF(OR(S33&lt;0,S33&gt;=$Q$10),-1,MOD(S33,$Q$9))</f>
        <v>0</v>
      </c>
      <c r="V33">
        <f>IF(OR(Q33&lt;=0,S33&lt;0,S33&gt;=$Q$10,R33&gt;=$Q$7),1,0)</f>
        <v>0</v>
      </c>
      <c r="W33">
        <f>IF(V33=1,-1,T33)</f>
        <v>6</v>
      </c>
      <c r="X33">
        <f>IF(V33=1,-1,R33)</f>
        <v>0</v>
      </c>
      <c r="Y33" t="str">
        <f>IF(V33=1,"",IF(AND(MOD(W33,3)=0,U33=INT(($Q$9-1)/2)),INDEX($B$5:$M$5,W33+1),""))</f>
        <v>Jul</v>
      </c>
      <c r="Z33" s="6">
        <f>0+$Q$20</f>
        <v>0</v>
      </c>
      <c r="AA33">
        <f>IF(OR(V33=1,U33&lt;&gt;0),NA(),(INDEX($B$6:$M$21,($Q$3-1-0)*$Q$4+X33+1,0*$Q$5+W33+1)-0)/$Q$19*$Q$13)</f>
        <v>0.32242399999999999</v>
      </c>
      <c r="AB33" s="6">
        <f>1+$Q$20-(0+$Q$20+_xlfn.AGGREGATE(9,6,AA33:AA33))</f>
        <v>0.67757599999999996</v>
      </c>
      <c r="AC33">
        <f>IF(OR(V33=1,U33&lt;&gt;0),NA(),(INDEX($B$6:$M$21,($Q$3-1-1)*$Q$4+X33+1,0*$Q$5+W33+1)-0)/$Q$19*$Q$13)</f>
        <v>0.56088000000000005</v>
      </c>
      <c r="AD33" s="6">
        <f>2+$Q$20-(1+$Q$20+_xlfn.AGGREGATE(9,6,AC33:AC33))</f>
        <v>0.43911999999999995</v>
      </c>
      <c r="AE33">
        <f>IF(OR(V33=1,U33&lt;&gt;0),NA(),(INDEX($B$6:$M$21,($Q$3-1-2)*$Q$4+X33+1,0*$Q$5+W33+1)-0)/$Q$19*$Q$13)</f>
        <v>0.32062000000000002</v>
      </c>
      <c r="AF33" s="6">
        <f>3+$Q$20-(2+$Q$20+_xlfn.AGGREGATE(9,6,AE33:AE33))</f>
        <v>0.67938000000000009</v>
      </c>
      <c r="AG33">
        <f>IF(OR(V33=1,U33&lt;&gt;0),NA(),(INDEX($B$6:$M$21,($Q$3-1-3)*$Q$4+X33+1,0*$Q$5+W33+1)-0)/$Q$19*$Q$13)</f>
        <v>0.46067600000000003</v>
      </c>
      <c r="AO33">
        <v>42.5</v>
      </c>
      <c r="AP33">
        <f>IF(OR($Q$17&gt;0,$Q$18&lt;0),NA(),0+$Q$20)</f>
        <v>0</v>
      </c>
      <c r="AR33">
        <v>17</v>
      </c>
      <c r="AS33">
        <f>1+$Q$13+0.03</f>
        <v>1.8499999999999999</v>
      </c>
      <c r="AT33" t="str">
        <f>Column!$A$15</f>
        <v>Business partner 10</v>
      </c>
      <c r="AV33">
        <v>3.35</v>
      </c>
      <c r="AW33">
        <f>3+0*$Q$13</f>
        <v>3</v>
      </c>
      <c r="AX33" t="str">
        <f>TEXT($Q$17+($Q$18-$Q$17)*0,"#,##0")</f>
        <v>0</v>
      </c>
    </row>
    <row r="34" spans="16:50" x14ac:dyDescent="0.35">
      <c r="P34">
        <v>11</v>
      </c>
      <c r="Q34">
        <f>P34-$Q$12</f>
        <v>8</v>
      </c>
      <c r="R34">
        <f>IF(Q34&lt;=0,-1,INT((Q34-1)/($Q$10+$Q$11)))</f>
        <v>0</v>
      </c>
      <c r="S34">
        <f>IF(Q34&lt;=0,-1,MOD(Q34-1,($Q$10+$Q$11)))</f>
        <v>7</v>
      </c>
      <c r="T34">
        <f>IF(OR(S34&lt;0,S34&gt;=$Q$10),-1,INT(S34/$Q$9))</f>
        <v>7</v>
      </c>
      <c r="U34">
        <f>IF(OR(S34&lt;0,S34&gt;=$Q$10),-1,MOD(S34,$Q$9))</f>
        <v>0</v>
      </c>
      <c r="V34">
        <f>IF(OR(Q34&lt;=0,S34&lt;0,S34&gt;=$Q$10,R34&gt;=$Q$7),1,0)</f>
        <v>0</v>
      </c>
      <c r="W34">
        <f>IF(V34=1,-1,T34)</f>
        <v>7</v>
      </c>
      <c r="X34">
        <f>IF(V34=1,-1,R34)</f>
        <v>0</v>
      </c>
      <c r="Y34" t="str">
        <f>IF(V34=1,"",IF(AND(MOD(W34,3)=0,U34=INT(($Q$9-1)/2)),INDEX($B$5:$M$5,W34+1),""))</f>
        <v/>
      </c>
      <c r="Z34" s="6">
        <f>0+$Q$20</f>
        <v>0</v>
      </c>
      <c r="AA34">
        <f>IF(OR(V34=1,U34&lt;&gt;0),NA(),(INDEX($B$6:$M$21,($Q$3-1-0)*$Q$4+X34+1,0*$Q$5+W34+1)-0)/$Q$19*$Q$13)</f>
        <v>0.36293199999999998</v>
      </c>
      <c r="AB34" s="6">
        <f>1+$Q$20-(0+$Q$20+_xlfn.AGGREGATE(9,6,AA34:AA34))</f>
        <v>0.63706799999999997</v>
      </c>
      <c r="AC34">
        <f>IF(OR(V34=1,U34&lt;&gt;0),NA(),(INDEX($B$6:$M$21,($Q$3-1-1)*$Q$4+X34+1,0*$Q$5+W34+1)-0)/$Q$19*$Q$13)</f>
        <v>0.50675999999999999</v>
      </c>
      <c r="AD34" s="6">
        <f>2+$Q$20-(1+$Q$20+_xlfn.AGGREGATE(9,6,AC34:AC34))</f>
        <v>0.49324000000000012</v>
      </c>
      <c r="AE34">
        <f>IF(OR(V34=1,U34&lt;&gt;0),NA(),(INDEX($B$6:$M$21,($Q$3-1-2)*$Q$4+X34+1,0*$Q$5+W34+1)-0)/$Q$19*$Q$13)</f>
        <v>0.36036266666666666</v>
      </c>
      <c r="AF34" s="6">
        <f>3+$Q$20-(2+$Q$20+_xlfn.AGGREGATE(9,6,AE34:AE34))</f>
        <v>0.63963733333333339</v>
      </c>
      <c r="AG34">
        <f>IF(OR(V34=1,U34&lt;&gt;0),NA(),(INDEX($B$6:$M$21,($Q$3-1-3)*$Q$4+X34+1,0*$Q$5+W34+1)-0)/$Q$19*$Q$13)</f>
        <v>0.50424533333333332</v>
      </c>
      <c r="AO34">
        <v>54.5</v>
      </c>
      <c r="AP34">
        <f>IF(OR($Q$17&gt;0,$Q$18&lt;0),NA(),0+$Q$20)</f>
        <v>0</v>
      </c>
      <c r="AR34">
        <v>30</v>
      </c>
      <c r="AS34">
        <f>1+$Q$13+0.03</f>
        <v>1.8499999999999999</v>
      </c>
      <c r="AT34" t="str">
        <f>Column!$A$16</f>
        <v>Business partner 11</v>
      </c>
      <c r="AV34">
        <v>3.35</v>
      </c>
      <c r="AW34">
        <f>3+0.5*$Q$13</f>
        <v>3.41</v>
      </c>
      <c r="AX34" t="str">
        <f>TEXT($Q$17+($Q$18-$Q$17)*0.5,"#,##0")</f>
        <v>750</v>
      </c>
    </row>
    <row r="35" spans="16:50" x14ac:dyDescent="0.35">
      <c r="P35">
        <v>12</v>
      </c>
      <c r="Q35">
        <f>P35-$Q$12</f>
        <v>9</v>
      </c>
      <c r="R35">
        <f>IF(Q35&lt;=0,-1,INT((Q35-1)/($Q$10+$Q$11)))</f>
        <v>0</v>
      </c>
      <c r="S35">
        <f>IF(Q35&lt;=0,-1,MOD(Q35-1,($Q$10+$Q$11)))</f>
        <v>8</v>
      </c>
      <c r="T35">
        <f>IF(OR(S35&lt;0,S35&gt;=$Q$10),-1,INT(S35/$Q$9))</f>
        <v>8</v>
      </c>
      <c r="U35">
        <f>IF(OR(S35&lt;0,S35&gt;=$Q$10),-1,MOD(S35,$Q$9))</f>
        <v>0</v>
      </c>
      <c r="V35">
        <f>IF(OR(Q35&lt;=0,S35&lt;0,S35&gt;=$Q$10,R35&gt;=$Q$7),1,0)</f>
        <v>0</v>
      </c>
      <c r="W35">
        <f>IF(V35=1,-1,T35)</f>
        <v>8</v>
      </c>
      <c r="X35">
        <f>IF(V35=1,-1,R35)</f>
        <v>0</v>
      </c>
      <c r="Y35" t="str">
        <f>IF(V35=1,"",IF(AND(MOD(W35,3)=0,U35=INT(($Q$9-1)/2)),INDEX($B$5:$M$5,W35+1),""))</f>
        <v/>
      </c>
      <c r="Z35" s="6">
        <f>0+$Q$20</f>
        <v>0</v>
      </c>
      <c r="AA35">
        <f>IF(OR(V35=1,U35&lt;&gt;0),NA(),(INDEX($B$6:$M$21,($Q$3-1-0)*$Q$4+X35+1,0*$Q$5+W35+1)-0)/$Q$19*$Q$13)</f>
        <v>0.40343999999999997</v>
      </c>
      <c r="AB35" s="6">
        <f>1+$Q$20-(0+$Q$20+_xlfn.AGGREGATE(9,6,AA35:AA35))</f>
        <v>0.59655999999999998</v>
      </c>
      <c r="AC35">
        <f>IF(OR(V35=1,U35&lt;&gt;0),NA(),(INDEX($B$6:$M$21,($Q$3-1-1)*$Q$4+X35+1,0*$Q$5+W35+1)-0)/$Q$19*$Q$13)</f>
        <v>0.55103999999999997</v>
      </c>
      <c r="AD35" s="6">
        <f>2+$Q$20-(1+$Q$20+_xlfn.AGGREGATE(9,6,AC35:AC35))</f>
        <v>0.44896000000000003</v>
      </c>
      <c r="AE35">
        <f>IF(OR(V35=1,U35&lt;&gt;0),NA(),(INDEX($B$6:$M$21,($Q$3-1-2)*$Q$4+X35+1,0*$Q$5+W35+1)-0)/$Q$19*$Q$13)</f>
        <v>0.30175999999999997</v>
      </c>
      <c r="AF35" s="6">
        <f>3+$Q$20-(2+$Q$20+_xlfn.AGGREGATE(9,6,AE35:AE35))</f>
        <v>0.69824000000000019</v>
      </c>
      <c r="AG35">
        <f>IF(OR(V35=1,U35&lt;&gt;0),NA(),(INDEX($B$6:$M$21,($Q$3-1-3)*$Q$4+X35+1,0*$Q$5+W35+1)-0)/$Q$19*$Q$13)</f>
        <v>0.54776000000000002</v>
      </c>
      <c r="AO35">
        <v>54.5</v>
      </c>
      <c r="AP35" t="e">
        <f>NA()</f>
        <v>#N/A</v>
      </c>
      <c r="AR35">
        <v>43</v>
      </c>
      <c r="AS35">
        <f>1+$Q$13+0.03</f>
        <v>1.8499999999999999</v>
      </c>
      <c r="AT35" t="str">
        <f>Column!$A$17</f>
        <v>Business partner 12</v>
      </c>
      <c r="AV35">
        <v>3.35</v>
      </c>
      <c r="AW35">
        <f>3+1*$Q$13</f>
        <v>3.82</v>
      </c>
      <c r="AX35" t="str">
        <f>TEXT($Q$17+($Q$18-$Q$17)*1,"#,##0")</f>
        <v>1,500</v>
      </c>
    </row>
    <row r="36" spans="16:50" x14ac:dyDescent="0.35">
      <c r="P36">
        <v>13</v>
      </c>
      <c r="Q36">
        <f>P36-$Q$12</f>
        <v>10</v>
      </c>
      <c r="R36">
        <f>IF(Q36&lt;=0,-1,INT((Q36-1)/($Q$10+$Q$11)))</f>
        <v>0</v>
      </c>
      <c r="S36">
        <f>IF(Q36&lt;=0,-1,MOD(Q36-1,($Q$10+$Q$11)))</f>
        <v>9</v>
      </c>
      <c r="T36">
        <f>IF(OR(S36&lt;0,S36&gt;=$Q$10),-1,INT(S36/$Q$9))</f>
        <v>9</v>
      </c>
      <c r="U36">
        <f>IF(OR(S36&lt;0,S36&gt;=$Q$10),-1,MOD(S36,$Q$9))</f>
        <v>0</v>
      </c>
      <c r="V36">
        <f>IF(OR(Q36&lt;=0,S36&lt;0,S36&gt;=$Q$10,R36&gt;=$Q$7),1,0)</f>
        <v>0</v>
      </c>
      <c r="W36">
        <f>IF(V36=1,-1,T36)</f>
        <v>9</v>
      </c>
      <c r="X36">
        <f>IF(V36=1,-1,R36)</f>
        <v>0</v>
      </c>
      <c r="Y36" t="str">
        <f>IF(V36=1,"",IF(AND(MOD(W36,3)=0,U36=INT(($Q$9-1)/2)),INDEX($B$5:$M$5,W36+1),""))</f>
        <v>Oct</v>
      </c>
      <c r="Z36" s="6">
        <f>0+$Q$20</f>
        <v>0</v>
      </c>
      <c r="AA36">
        <f>IF(OR(V36=1,U36&lt;&gt;0),NA(),(INDEX($B$6:$M$21,($Q$3-1-0)*$Q$4+X36+1,0*$Q$5+W36+1)-0)/$Q$19*$Q$13)</f>
        <v>0.34554799999999997</v>
      </c>
      <c r="AB36" s="6">
        <f>1+$Q$20-(0+$Q$20+_xlfn.AGGREGATE(9,6,AA36:AA36))</f>
        <v>0.65445200000000003</v>
      </c>
      <c r="AC36">
        <f>IF(OR(V36=1,U36&lt;&gt;0),NA(),(INDEX($B$6:$M$21,($Q$3-1-1)*$Q$4+X36+1,0*$Q$5+W36+1)-0)/$Q$19*$Q$13)</f>
        <v>0.59531999999999996</v>
      </c>
      <c r="AD36" s="6">
        <f>2+$Q$20-(1+$Q$20+_xlfn.AGGREGATE(9,6,AC36:AC36))</f>
        <v>0.40467999999999993</v>
      </c>
      <c r="AE36">
        <f>IF(OR(V36=1,U36&lt;&gt;0),NA(),(INDEX($B$6:$M$21,($Q$3-1-2)*$Q$4+X36+1,0*$Q$5+W36+1)-0)/$Q$19*$Q$13)</f>
        <v>0.34155733333333327</v>
      </c>
      <c r="AF36" s="6">
        <f>3+$Q$20-(2+$Q$20+_xlfn.AGGREGATE(9,6,AE36:AE36))</f>
        <v>0.65844266666666673</v>
      </c>
      <c r="AG36">
        <f>IF(OR(V36=1,U36&lt;&gt;0),NA(),(INDEX($B$6:$M$21,($Q$3-1-3)*$Q$4+X36+1,0*$Q$5+W36+1)-0)/$Q$19*$Q$13)</f>
        <v>0.49287466666666663</v>
      </c>
      <c r="AO36">
        <v>3.5</v>
      </c>
      <c r="AP36">
        <f>IF(OR($Q$17&gt;0,$Q$18&lt;0),NA(),1+$Q$20)</f>
        <v>1</v>
      </c>
      <c r="AR36">
        <v>4</v>
      </c>
      <c r="AS36">
        <f>0+$Q$13+0.03</f>
        <v>0.85</v>
      </c>
      <c r="AT36" t="str">
        <f>Column!$A$18</f>
        <v>Business partner 13</v>
      </c>
    </row>
    <row r="37" spans="16:50" x14ac:dyDescent="0.35">
      <c r="P37">
        <v>14</v>
      </c>
      <c r="Q37">
        <f>P37-$Q$12</f>
        <v>11</v>
      </c>
      <c r="R37">
        <f>IF(Q37&lt;=0,-1,INT((Q37-1)/($Q$10+$Q$11)))</f>
        <v>0</v>
      </c>
      <c r="S37">
        <f>IF(Q37&lt;=0,-1,MOD(Q37-1,($Q$10+$Q$11)))</f>
        <v>10</v>
      </c>
      <c r="T37">
        <f>IF(OR(S37&lt;0,S37&gt;=$Q$10),-1,INT(S37/$Q$9))</f>
        <v>10</v>
      </c>
      <c r="U37">
        <f>IF(OR(S37&lt;0,S37&gt;=$Q$10),-1,MOD(S37,$Q$9))</f>
        <v>0</v>
      </c>
      <c r="V37">
        <f>IF(OR(Q37&lt;=0,S37&lt;0,S37&gt;=$Q$10,R37&gt;=$Q$7),1,0)</f>
        <v>0</v>
      </c>
      <c r="W37">
        <f>IF(V37=1,-1,T37)</f>
        <v>10</v>
      </c>
      <c r="X37">
        <f>IF(V37=1,-1,R37)</f>
        <v>0</v>
      </c>
      <c r="Y37" t="str">
        <f>IF(V37=1,"",IF(AND(MOD(W37,3)=0,U37=INT(($Q$9-1)/2)),INDEX($B$5:$M$5,W37+1),""))</f>
        <v/>
      </c>
      <c r="Z37" s="6">
        <f>0+$Q$20</f>
        <v>0</v>
      </c>
      <c r="AA37">
        <f>IF(OR(V37=1,U37&lt;&gt;0),NA(),(INDEX($B$6:$M$21,($Q$3-1-0)*$Q$4+X37+1,0*$Q$5+W37+1)-0)/$Q$19*$Q$13)</f>
        <v>0.38605600000000001</v>
      </c>
      <c r="AB37" s="6">
        <f>1+$Q$20-(0+$Q$20+_xlfn.AGGREGATE(9,6,AA37:AA37))</f>
        <v>0.61394400000000005</v>
      </c>
      <c r="AC37">
        <f>IF(OR(V37=1,U37&lt;&gt;0),NA(),(INDEX($B$6:$M$21,($Q$3-1-1)*$Q$4+X37+1,0*$Q$5+W37+1)-0)/$Q$19*$Q$13)</f>
        <v>0.54120000000000001</v>
      </c>
      <c r="AD37" s="6">
        <f>2+$Q$20-(1+$Q$20+_xlfn.AGGREGATE(9,6,AC37:AC37))</f>
        <v>0.4588000000000001</v>
      </c>
      <c r="AE37">
        <f>IF(OR(V37=1,U37&lt;&gt;0),NA(),(INDEX($B$6:$M$21,($Q$3-1-2)*$Q$4+X37+1,0*$Q$5+W37+1)-0)/$Q$19*$Q$13)</f>
        <v>0.38129999999999997</v>
      </c>
      <c r="AF37" s="6">
        <f>3+$Q$20-(2+$Q$20+_xlfn.AGGREGATE(9,6,AE37:AE37))</f>
        <v>0.61870000000000003</v>
      </c>
      <c r="AG37">
        <f>IF(OR(V37=1,U37&lt;&gt;0),NA(),(INDEX($B$6:$M$21,($Q$3-1-3)*$Q$4+X37+1,0*$Q$5+W37+1)-0)/$Q$19*$Q$13)</f>
        <v>0.53638933333333327</v>
      </c>
      <c r="AO37">
        <v>15.5</v>
      </c>
      <c r="AP37">
        <f>IF(OR($Q$17&gt;0,$Q$18&lt;0),NA(),1+$Q$20)</f>
        <v>1</v>
      </c>
      <c r="AR37">
        <v>17</v>
      </c>
      <c r="AS37">
        <f>0+$Q$13+0.03</f>
        <v>0.85</v>
      </c>
      <c r="AT37" t="str">
        <f>Column!$A$19</f>
        <v>Business partner 14</v>
      </c>
    </row>
    <row r="38" spans="16:50" x14ac:dyDescent="0.35">
      <c r="P38">
        <v>15</v>
      </c>
      <c r="Q38">
        <f>P38-$Q$12</f>
        <v>12</v>
      </c>
      <c r="R38">
        <f>IF(Q38&lt;=0,-1,INT((Q38-1)/($Q$10+$Q$11)))</f>
        <v>0</v>
      </c>
      <c r="S38">
        <f>IF(Q38&lt;=0,-1,MOD(Q38-1,($Q$10+$Q$11)))</f>
        <v>11</v>
      </c>
      <c r="T38">
        <f>IF(OR(S38&lt;0,S38&gt;=$Q$10),-1,INT(S38/$Q$9))</f>
        <v>11</v>
      </c>
      <c r="U38">
        <f>IF(OR(S38&lt;0,S38&gt;=$Q$10),-1,MOD(S38,$Q$9))</f>
        <v>0</v>
      </c>
      <c r="V38">
        <f>IF(OR(Q38&lt;=0,S38&lt;0,S38&gt;=$Q$10,R38&gt;=$Q$7),1,0)</f>
        <v>0</v>
      </c>
      <c r="W38">
        <f>IF(V38=1,-1,T38)</f>
        <v>11</v>
      </c>
      <c r="X38">
        <f>IF(V38=1,-1,R38)</f>
        <v>0</v>
      </c>
      <c r="Y38" t="str">
        <f>IF(V38=1,"",IF(AND(MOD(W38,3)=0,U38=INT(($Q$9-1)/2)),INDEX($B$5:$M$5,W38+1),""))</f>
        <v/>
      </c>
      <c r="Z38" s="6">
        <f>0+$Q$20</f>
        <v>0</v>
      </c>
      <c r="AA38">
        <f>IF(OR(V38=1,U38&lt;&gt;0),NA(),(INDEX($B$6:$M$21,($Q$3-1-0)*$Q$4+X38+1,0*$Q$5+W38+1)-0)/$Q$19*$Q$13)</f>
        <v>0.42661866666666665</v>
      </c>
      <c r="AB38" s="6">
        <f>1+$Q$20-(0+$Q$20+_xlfn.AGGREGATE(9,6,AA38:AA38))</f>
        <v>0.5733813333333333</v>
      </c>
      <c r="AC38">
        <f>IF(OR(V38=1,U38&lt;&gt;0),NA(),(INDEX($B$6:$M$21,($Q$3-1-1)*$Q$4+X38+1,0*$Q$5+W38+1)-0)/$Q$19*$Q$13)</f>
        <v>0.58547999999999989</v>
      </c>
      <c r="AD38" s="6">
        <f>2+$Q$20-(1+$Q$20+_xlfn.AGGREGATE(9,6,AC38:AC38))</f>
        <v>0.41452</v>
      </c>
      <c r="AE38">
        <f>IF(OR(V38=1,U38&lt;&gt;0),NA(),(INDEX($B$6:$M$21,($Q$3-1-2)*$Q$4+X38+1,0*$Q$5+W38+1)-0)/$Q$19*$Q$13)</f>
        <v>0.32264266666666669</v>
      </c>
      <c r="AF38" s="6">
        <f>3+$Q$20-(2+$Q$20+_xlfn.AGGREGATE(9,6,AE38:AE38))</f>
        <v>0.67735733333333314</v>
      </c>
      <c r="AG38">
        <f>IF(OR(V38=1,U38&lt;&gt;0),NA(),(INDEX($B$6:$M$21,($Q$3-1-3)*$Q$4+X38+1,0*$Q$5+W38+1)-0)/$Q$19*$Q$13)</f>
        <v>0.57995866666666662</v>
      </c>
      <c r="AO38">
        <v>15.5</v>
      </c>
      <c r="AP38" t="e">
        <f>NA()</f>
        <v>#N/A</v>
      </c>
      <c r="AR38">
        <v>30</v>
      </c>
      <c r="AS38">
        <f>0+$Q$13+0.03</f>
        <v>0.85</v>
      </c>
      <c r="AT38" t="str">
        <f>Column!$A$20</f>
        <v>Business partner 15</v>
      </c>
    </row>
    <row r="39" spans="16:50" x14ac:dyDescent="0.35">
      <c r="P39">
        <v>16</v>
      </c>
      <c r="Q39">
        <f>P39-$Q$12</f>
        <v>13</v>
      </c>
      <c r="R39">
        <f>IF(Q39&lt;=0,-1,INT((Q39-1)/($Q$10+$Q$11)))</f>
        <v>0</v>
      </c>
      <c r="S39">
        <f>IF(Q39&lt;=0,-1,MOD(Q39-1,($Q$10+$Q$11)))</f>
        <v>12</v>
      </c>
      <c r="T39">
        <f>IF(OR(S39&lt;0,S39&gt;=$Q$10),-1,INT(S39/$Q$9))</f>
        <v>-1</v>
      </c>
      <c r="U39">
        <f>IF(OR(S39&lt;0,S39&gt;=$Q$10),-1,MOD(S39,$Q$9))</f>
        <v>-1</v>
      </c>
      <c r="V39">
        <f>IF(OR(Q39&lt;=0,S39&lt;0,S39&gt;=$Q$10,R39&gt;=$Q$7),1,0)</f>
        <v>1</v>
      </c>
      <c r="W39">
        <f>IF(V39=1,-1,T39)</f>
        <v>-1</v>
      </c>
      <c r="X39">
        <f>IF(V39=1,-1,R39)</f>
        <v>-1</v>
      </c>
      <c r="Y39" t="str">
        <f>IF(V39=1,"",IF(AND(MOD(W39,3)=0,U39=INT(($Q$9-1)/2)),INDEX($B$5:$M$5,W39+1),""))</f>
        <v/>
      </c>
      <c r="Z39" s="6">
        <f>0+$Q$20</f>
        <v>0</v>
      </c>
      <c r="AA39" t="e">
        <f>IF(OR(V39=1,U39&lt;&gt;0),NA(),(INDEX($B$6:$M$21,($Q$3-1-0)*$Q$4+X39+1,0*$Q$5+W39+1)-0)/$Q$19*$Q$13)</f>
        <v>#N/A</v>
      </c>
      <c r="AB39" s="6">
        <f>1+$Q$20-(0+$Q$20+_xlfn.AGGREGATE(9,6,AA39:AA39))</f>
        <v>1</v>
      </c>
      <c r="AC39" t="e">
        <f>IF(OR(V39=1,U39&lt;&gt;0),NA(),(INDEX($B$6:$M$21,($Q$3-1-1)*$Q$4+X39+1,0*$Q$5+W39+1)-0)/$Q$19*$Q$13)</f>
        <v>#N/A</v>
      </c>
      <c r="AD39" s="6">
        <f>2+$Q$20-(1+$Q$20+_xlfn.AGGREGATE(9,6,AC39:AC39))</f>
        <v>1</v>
      </c>
      <c r="AE39" t="e">
        <f>IF(OR(V39=1,U39&lt;&gt;0),NA(),(INDEX($B$6:$M$21,($Q$3-1-2)*$Q$4+X39+1,0*$Q$5+W39+1)-0)/$Q$19*$Q$13)</f>
        <v>#N/A</v>
      </c>
      <c r="AF39" s="6">
        <f>3+$Q$20-(2+$Q$20+_xlfn.AGGREGATE(9,6,AE39:AE39))</f>
        <v>1</v>
      </c>
      <c r="AG39" t="e">
        <f>IF(OR(V39=1,U39&lt;&gt;0),NA(),(INDEX($B$6:$M$21,($Q$3-1-3)*$Q$4+X39+1,0*$Q$5+W39+1)-0)/$Q$19*$Q$13)</f>
        <v>#N/A</v>
      </c>
      <c r="AO39">
        <v>16.5</v>
      </c>
      <c r="AP39">
        <f>IF(OR($Q$17&gt;0,$Q$18&lt;0),NA(),1+$Q$20)</f>
        <v>1</v>
      </c>
      <c r="AR39">
        <v>43</v>
      </c>
      <c r="AS39">
        <f>0+$Q$13+0.03</f>
        <v>0.85</v>
      </c>
      <c r="AT39" t="str">
        <f>Column!$A$21</f>
        <v>Business partner 16</v>
      </c>
    </row>
    <row r="40" spans="16:50" x14ac:dyDescent="0.35">
      <c r="P40">
        <v>17</v>
      </c>
      <c r="Q40">
        <f>P40-$Q$12</f>
        <v>14</v>
      </c>
      <c r="R40">
        <f>IF(Q40&lt;=0,-1,INT((Q40-1)/($Q$10+$Q$11)))</f>
        <v>1</v>
      </c>
      <c r="S40">
        <f>IF(Q40&lt;=0,-1,MOD(Q40-1,($Q$10+$Q$11)))</f>
        <v>0</v>
      </c>
      <c r="T40">
        <f>IF(OR(S40&lt;0,S40&gt;=$Q$10),-1,INT(S40/$Q$9))</f>
        <v>0</v>
      </c>
      <c r="U40">
        <f>IF(OR(S40&lt;0,S40&gt;=$Q$10),-1,MOD(S40,$Q$9))</f>
        <v>0</v>
      </c>
      <c r="V40">
        <f>IF(OR(Q40&lt;=0,S40&lt;0,S40&gt;=$Q$10,R40&gt;=$Q$7),1,0)</f>
        <v>0</v>
      </c>
      <c r="W40">
        <f>IF(V40=1,-1,T40)</f>
        <v>0</v>
      </c>
      <c r="X40">
        <f>IF(V40=1,-1,R40)</f>
        <v>1</v>
      </c>
      <c r="Y40" t="str">
        <f>IF(V40=1,"",IF(AND(MOD(W40,3)=0,U40=INT(($Q$9-1)/2)),INDEX($B$5:$M$5,W40+1),""))</f>
        <v>Jan</v>
      </c>
      <c r="Z40" s="6">
        <f>0+$Q$20</f>
        <v>0</v>
      </c>
      <c r="AA40">
        <f>IF(OR(V40=1,U40&lt;&gt;0),NA(),(INDEX($B$6:$M$21,($Q$3-1-0)*$Q$4+X40+1,0*$Q$5+W40+1)-0)/$Q$19*$Q$13)</f>
        <v>0.51933333333333331</v>
      </c>
      <c r="AB40" s="6">
        <f>1+$Q$20-(0+$Q$20+_xlfn.AGGREGATE(9,6,AA40:AA40))</f>
        <v>0.48066666666666669</v>
      </c>
      <c r="AC40">
        <f>IF(OR(V40=1,U40&lt;&gt;0),NA(),(INDEX($B$6:$M$21,($Q$3-1-1)*$Q$4+X40+1,0*$Q$5+W40+1)-0)/$Q$19*$Q$13)</f>
        <v>0.30613333333333331</v>
      </c>
      <c r="AD40" s="6">
        <f>2+$Q$20-(1+$Q$20+_xlfn.AGGREGATE(9,6,AC40:AC40))</f>
        <v>0.69386666666666663</v>
      </c>
      <c r="AE40">
        <f>IF(OR(V40=1,U40&lt;&gt;0),NA(),(INDEX($B$6:$M$21,($Q$3-1-2)*$Q$4+X40+1,0*$Q$5+W40+1)-0)/$Q$19*$Q$13)</f>
        <v>0.52206666666666668</v>
      </c>
      <c r="AF40" s="6">
        <f>3+$Q$20-(2+$Q$20+_xlfn.AGGREGATE(9,6,AE40:AE40))</f>
        <v>0.47793333333333354</v>
      </c>
      <c r="AG40">
        <f>IF(OR(V40=1,U40&lt;&gt;0),NA(),(INDEX($B$6:$M$21,($Q$3-1-3)*$Q$4+X40+1,0*$Q$5+W40+1)-0)/$Q$19*$Q$13)</f>
        <v>0.30886666666666662</v>
      </c>
      <c r="AO40">
        <v>28.5</v>
      </c>
      <c r="AP40">
        <f>IF(OR($Q$17&gt;0,$Q$18&lt;0),NA(),1+$Q$20)</f>
        <v>1</v>
      </c>
    </row>
    <row r="41" spans="16:50" x14ac:dyDescent="0.35">
      <c r="P41">
        <v>18</v>
      </c>
      <c r="Q41">
        <f>P41-$Q$12</f>
        <v>15</v>
      </c>
      <c r="R41">
        <f>IF(Q41&lt;=0,-1,INT((Q41-1)/($Q$10+$Q$11)))</f>
        <v>1</v>
      </c>
      <c r="S41">
        <f>IF(Q41&lt;=0,-1,MOD(Q41-1,($Q$10+$Q$11)))</f>
        <v>1</v>
      </c>
      <c r="T41">
        <f>IF(OR(S41&lt;0,S41&gt;=$Q$10),-1,INT(S41/$Q$9))</f>
        <v>1</v>
      </c>
      <c r="U41">
        <f>IF(OR(S41&lt;0,S41&gt;=$Q$10),-1,MOD(S41,$Q$9))</f>
        <v>0</v>
      </c>
      <c r="V41">
        <f>IF(OR(Q41&lt;=0,S41&lt;0,S41&gt;=$Q$10,R41&gt;=$Q$7),1,0)</f>
        <v>0</v>
      </c>
      <c r="W41">
        <f>IF(V41=1,-1,T41)</f>
        <v>1</v>
      </c>
      <c r="X41">
        <f>IF(V41=1,-1,R41)</f>
        <v>1</v>
      </c>
      <c r="Y41" t="str">
        <f>IF(V41=1,"",IF(AND(MOD(W41,3)=0,U41=INT(($Q$9-1)/2)),INDEX($B$5:$M$5,W41+1),""))</f>
        <v/>
      </c>
      <c r="Z41" s="6">
        <f>0+$Q$20</f>
        <v>0</v>
      </c>
      <c r="AA41">
        <f>IF(OR(V41=1,U41&lt;&gt;0),NA(),(INDEX($B$6:$M$21,($Q$3-1-0)*$Q$4+X41+1,0*$Q$5+W41+1)-0)/$Q$19*$Q$13)</f>
        <v>0.56514399999999987</v>
      </c>
      <c r="AB41" s="6">
        <f>1+$Q$20-(0+$Q$20+_xlfn.AGGREGATE(9,6,AA41:AA41))</f>
        <v>0.43485600000000013</v>
      </c>
      <c r="AC41">
        <f>IF(OR(V41=1,U41&lt;&gt;0),NA(),(INDEX($B$6:$M$21,($Q$3-1-1)*$Q$4+X41+1,0*$Q$5+W41+1)-0)/$Q$19*$Q$13)</f>
        <v>0.34740666666666664</v>
      </c>
      <c r="AD41" s="6">
        <f>2+$Q$20-(1+$Q$20+_xlfn.AGGREGATE(9,6,AC41:AC41))</f>
        <v>0.65259333333333336</v>
      </c>
      <c r="AE41">
        <f>IF(OR(V41=1,U41&lt;&gt;0),NA(),(INDEX($B$6:$M$21,($Q$3-1-2)*$Q$4+X41+1,0*$Q$5+W41+1)-0)/$Q$19*$Q$13)</f>
        <v>0.46871199999999996</v>
      </c>
      <c r="AF41" s="6">
        <f>3+$Q$20-(2+$Q$20+_xlfn.AGGREGATE(9,6,AE41:AE41))</f>
        <v>0.53128799999999998</v>
      </c>
      <c r="AG41">
        <f>IF(OR(V41=1,U41&lt;&gt;0),NA(),(INDEX($B$6:$M$21,($Q$3-1-3)*$Q$4+X41+1,0*$Q$5+W41+1)-0)/$Q$19*$Q$13)</f>
        <v>0.34937466666666667</v>
      </c>
      <c r="AO41">
        <v>28.5</v>
      </c>
      <c r="AP41" t="e">
        <f>NA()</f>
        <v>#N/A</v>
      </c>
    </row>
    <row r="42" spans="16:50" x14ac:dyDescent="0.35">
      <c r="P42">
        <v>19</v>
      </c>
      <c r="Q42">
        <f>P42-$Q$12</f>
        <v>16</v>
      </c>
      <c r="R42">
        <f>IF(Q42&lt;=0,-1,INT((Q42-1)/($Q$10+$Q$11)))</f>
        <v>1</v>
      </c>
      <c r="S42">
        <f>IF(Q42&lt;=0,-1,MOD(Q42-1,($Q$10+$Q$11)))</f>
        <v>2</v>
      </c>
      <c r="T42">
        <f>IF(OR(S42&lt;0,S42&gt;=$Q$10),-1,INT(S42/$Q$9))</f>
        <v>2</v>
      </c>
      <c r="U42">
        <f>IF(OR(S42&lt;0,S42&gt;=$Q$10),-1,MOD(S42,$Q$9))</f>
        <v>0</v>
      </c>
      <c r="V42">
        <f>IF(OR(Q42&lt;=0,S42&lt;0,S42&gt;=$Q$10,R42&gt;=$Q$7),1,0)</f>
        <v>0</v>
      </c>
      <c r="W42">
        <f>IF(V42=1,-1,T42)</f>
        <v>2</v>
      </c>
      <c r="X42">
        <f>IF(V42=1,-1,R42)</f>
        <v>1</v>
      </c>
      <c r="Y42" t="str">
        <f>IF(V42=1,"",IF(AND(MOD(W42,3)=0,U42=INT(($Q$9-1)/2)),INDEX($B$5:$M$5,W42+1),""))</f>
        <v/>
      </c>
      <c r="Z42" s="6">
        <f>0+$Q$20</f>
        <v>0</v>
      </c>
      <c r="AA42">
        <f>IF(OR(V42=1,U42&lt;&gt;0),NA(),(INDEX($B$6:$M$21,($Q$3-1-0)*$Q$4+X42+1,0*$Q$5+W42+1)-0)/$Q$19*$Q$13)</f>
        <v>0.51249999999999996</v>
      </c>
      <c r="AB42" s="6">
        <f>1+$Q$20-(0+$Q$20+_xlfn.AGGREGATE(9,6,AA42:AA42))</f>
        <v>0.48750000000000004</v>
      </c>
      <c r="AC42">
        <f>IF(OR(V42=1,U42&lt;&gt;0),NA(),(INDEX($B$6:$M$21,($Q$3-1-1)*$Q$4+X42+1,0*$Q$5+W42+1)-0)/$Q$19*$Q$13)</f>
        <v>0.38867999999999997</v>
      </c>
      <c r="AD42" s="6">
        <f>2+$Q$20-(1+$Q$20+_xlfn.AGGREGATE(9,6,AC42:AC42))</f>
        <v>0.61132000000000009</v>
      </c>
      <c r="AE42">
        <f>IF(OR(V42=1,U42&lt;&gt;0),NA(),(INDEX($B$6:$M$21,($Q$3-1-2)*$Q$4+X42+1,0*$Q$5+W42+1)-0)/$Q$19*$Q$13)</f>
        <v>0.51375733333333329</v>
      </c>
      <c r="AF42" s="6">
        <f>3+$Q$20-(2+$Q$20+_xlfn.AGGREGATE(9,6,AE42:AE42))</f>
        <v>0.4862426666666666</v>
      </c>
      <c r="AG42">
        <f>IF(OR(V42=1,U42&lt;&gt;0),NA(),(INDEX($B$6:$M$21,($Q$3-1-3)*$Q$4+X42+1,0*$Q$5+W42+1)-0)/$Q$19*$Q$13)</f>
        <v>0.29148266666666667</v>
      </c>
      <c r="AO42">
        <v>29.5</v>
      </c>
      <c r="AP42">
        <f>IF(OR($Q$17&gt;0,$Q$18&lt;0),NA(),1+$Q$20)</f>
        <v>1</v>
      </c>
    </row>
    <row r="43" spans="16:50" x14ac:dyDescent="0.35">
      <c r="P43">
        <v>20</v>
      </c>
      <c r="Q43">
        <f>P43-$Q$12</f>
        <v>17</v>
      </c>
      <c r="R43">
        <f>IF(Q43&lt;=0,-1,INT((Q43-1)/($Q$10+$Q$11)))</f>
        <v>1</v>
      </c>
      <c r="S43">
        <f>IF(Q43&lt;=0,-1,MOD(Q43-1,($Q$10+$Q$11)))</f>
        <v>3</v>
      </c>
      <c r="T43">
        <f>IF(OR(S43&lt;0,S43&gt;=$Q$10),-1,INT(S43/$Q$9))</f>
        <v>3</v>
      </c>
      <c r="U43">
        <f>IF(OR(S43&lt;0,S43&gt;=$Q$10),-1,MOD(S43,$Q$9))</f>
        <v>0</v>
      </c>
      <c r="V43">
        <f>IF(OR(Q43&lt;=0,S43&lt;0,S43&gt;=$Q$10,R43&gt;=$Q$7),1,0)</f>
        <v>0</v>
      </c>
      <c r="W43">
        <f>IF(V43=1,-1,T43)</f>
        <v>3</v>
      </c>
      <c r="X43">
        <f>IF(V43=1,-1,R43)</f>
        <v>1</v>
      </c>
      <c r="Y43" t="str">
        <f>IF(V43=1,"",IF(AND(MOD(W43,3)=0,U43=INT(($Q$9-1)/2)),INDEX($B$5:$M$5,W43+1),""))</f>
        <v>Apr</v>
      </c>
      <c r="Z43" s="6">
        <f>0+$Q$20</f>
        <v>0</v>
      </c>
      <c r="AA43">
        <f>IF(OR(V43=1,U43&lt;&gt;0),NA(),(INDEX($B$6:$M$21,($Q$3-1-0)*$Q$4+X43+1,0*$Q$5+W43+1)-0)/$Q$19*$Q$13)</f>
        <v>0.55825599999999997</v>
      </c>
      <c r="AB43" s="6">
        <f>1+$Q$20-(0+$Q$20+_xlfn.AGGREGATE(9,6,AA43:AA43))</f>
        <v>0.44174400000000003</v>
      </c>
      <c r="AC43">
        <f>IF(OR(V43=1,U43&lt;&gt;0),NA(),(INDEX($B$6:$M$21,($Q$3-1-1)*$Q$4+X43+1,0*$Q$5+W43+1)-0)/$Q$19*$Q$13)</f>
        <v>0.33155333333333331</v>
      </c>
      <c r="AD43" s="6">
        <f>2+$Q$20-(1+$Q$20+_xlfn.AGGREGATE(9,6,AC43:AC43))</f>
        <v>0.66844666666666663</v>
      </c>
      <c r="AE43">
        <f>IF(OR(V43=1,U43&lt;&gt;0),NA(),(INDEX($B$6:$M$21,($Q$3-1-2)*$Q$4+X43+1,0*$Q$5+W43+1)-0)/$Q$19*$Q$13)</f>
        <v>0.55874800000000002</v>
      </c>
      <c r="AF43" s="6">
        <f>3+$Q$20-(2+$Q$20+_xlfn.AGGREGATE(9,6,AE43:AE43))</f>
        <v>0.44125199999999998</v>
      </c>
      <c r="AG43">
        <f>IF(OR(V43=1,U43&lt;&gt;0),NA(),(INDEX($B$6:$M$21,($Q$3-1-3)*$Q$4+X43+1,0*$Q$5+W43+1)-0)/$Q$19*$Q$13)</f>
        <v>0.3320453333333333</v>
      </c>
      <c r="AO43">
        <v>41.5</v>
      </c>
      <c r="AP43">
        <f>IF(OR($Q$17&gt;0,$Q$18&lt;0),NA(),1+$Q$20)</f>
        <v>1</v>
      </c>
    </row>
    <row r="44" spans="16:50" x14ac:dyDescent="0.35">
      <c r="P44">
        <v>21</v>
      </c>
      <c r="Q44">
        <f>P44-$Q$12</f>
        <v>18</v>
      </c>
      <c r="R44">
        <f>IF(Q44&lt;=0,-1,INT((Q44-1)/($Q$10+$Q$11)))</f>
        <v>1</v>
      </c>
      <c r="S44">
        <f>IF(Q44&lt;=0,-1,MOD(Q44-1,($Q$10+$Q$11)))</f>
        <v>4</v>
      </c>
      <c r="T44">
        <f>IF(OR(S44&lt;0,S44&gt;=$Q$10),-1,INT(S44/$Q$9))</f>
        <v>4</v>
      </c>
      <c r="U44">
        <f>IF(OR(S44&lt;0,S44&gt;=$Q$10),-1,MOD(S44,$Q$9))</f>
        <v>0</v>
      </c>
      <c r="V44">
        <f>IF(OR(Q44&lt;=0,S44&lt;0,S44&gt;=$Q$10,R44&gt;=$Q$7),1,0)</f>
        <v>0</v>
      </c>
      <c r="W44">
        <f>IF(V44=1,-1,T44)</f>
        <v>4</v>
      </c>
      <c r="X44">
        <f>IF(V44=1,-1,R44)</f>
        <v>1</v>
      </c>
      <c r="Y44" t="str">
        <f>IF(V44=1,"",IF(AND(MOD(W44,3)=0,U44=INT(($Q$9-1)/2)),INDEX($B$5:$M$5,W44+1),""))</f>
        <v/>
      </c>
      <c r="Z44" s="6">
        <f>0+$Q$20</f>
        <v>0</v>
      </c>
      <c r="AA44">
        <f>IF(OR(V44=1,U44&lt;&gt;0),NA(),(INDEX($B$6:$M$21,($Q$3-1-0)*$Q$4+X44+1,0*$Q$5+W44+1)-0)/$Q$19*$Q$13)</f>
        <v>0.60406666666666664</v>
      </c>
      <c r="AB44" s="6">
        <f>1+$Q$20-(0+$Q$20+_xlfn.AGGREGATE(9,6,AA44:AA44))</f>
        <v>0.39593333333333336</v>
      </c>
      <c r="AC44">
        <f>IF(OR(V44=1,U44&lt;&gt;0),NA(),(INDEX($B$6:$M$21,($Q$3-1-1)*$Q$4+X44+1,0*$Q$5+W44+1)-0)/$Q$19*$Q$13)</f>
        <v>0.37282666666666664</v>
      </c>
      <c r="AD44" s="6">
        <f>2+$Q$20-(1+$Q$20+_xlfn.AGGREGATE(9,6,AC44:AC44))</f>
        <v>0.62717333333333336</v>
      </c>
      <c r="AE44">
        <f>IF(OR(V44=1,U44&lt;&gt;0),NA(),(INDEX($B$6:$M$21,($Q$3-1-2)*$Q$4+X44+1,0*$Q$5+W44+1)-0)/$Q$19*$Q$13)</f>
        <v>0.50539333333333325</v>
      </c>
      <c r="AF44" s="6">
        <f>3+$Q$20-(2+$Q$20+_xlfn.AGGREGATE(9,6,AE44:AE44))</f>
        <v>0.49460666666666686</v>
      </c>
      <c r="AG44">
        <f>IF(OR(V44=1,U44&lt;&gt;0),NA(),(INDEX($B$6:$M$21,($Q$3-1-3)*$Q$4+X44+1,0*$Q$5+W44+1)-0)/$Q$19*$Q$13)</f>
        <v>0.37255333333333329</v>
      </c>
      <c r="AO44">
        <v>41.5</v>
      </c>
      <c r="AP44" t="e">
        <f>NA()</f>
        <v>#N/A</v>
      </c>
    </row>
    <row r="45" spans="16:50" x14ac:dyDescent="0.35">
      <c r="P45">
        <v>22</v>
      </c>
      <c r="Q45">
        <f>P45-$Q$12</f>
        <v>19</v>
      </c>
      <c r="R45">
        <f>IF(Q45&lt;=0,-1,INT((Q45-1)/($Q$10+$Q$11)))</f>
        <v>1</v>
      </c>
      <c r="S45">
        <f>IF(Q45&lt;=0,-1,MOD(Q45-1,($Q$10+$Q$11)))</f>
        <v>5</v>
      </c>
      <c r="T45">
        <f>IF(OR(S45&lt;0,S45&gt;=$Q$10),-1,INT(S45/$Q$9))</f>
        <v>5</v>
      </c>
      <c r="U45">
        <f>IF(OR(S45&lt;0,S45&gt;=$Q$10),-1,MOD(S45,$Q$9))</f>
        <v>0</v>
      </c>
      <c r="V45">
        <f>IF(OR(Q45&lt;=0,S45&lt;0,S45&gt;=$Q$10,R45&gt;=$Q$7),1,0)</f>
        <v>0</v>
      </c>
      <c r="W45">
        <f>IF(V45=1,-1,T45)</f>
        <v>5</v>
      </c>
      <c r="X45">
        <f>IF(V45=1,-1,R45)</f>
        <v>1</v>
      </c>
      <c r="Y45" t="str">
        <f>IF(V45=1,"",IF(AND(MOD(W45,3)=0,U45=INT(($Q$9-1)/2)),INDEX($B$5:$M$5,W45+1),""))</f>
        <v/>
      </c>
      <c r="Z45" s="6">
        <f>0+$Q$20</f>
        <v>0</v>
      </c>
      <c r="AA45">
        <f>IF(OR(V45=1,U45&lt;&gt;0),NA(),(INDEX($B$6:$M$21,($Q$3-1-0)*$Q$4+X45+1,0*$Q$5+W45+1)-0)/$Q$19*$Q$13)</f>
        <v>0.55147733333333326</v>
      </c>
      <c r="AB45" s="6">
        <f>1+$Q$20-(0+$Q$20+_xlfn.AGGREGATE(9,6,AA45:AA45))</f>
        <v>0.44852266666666674</v>
      </c>
      <c r="AC45">
        <f>IF(OR(V45=1,U45&lt;&gt;0),NA(),(INDEX($B$6:$M$21,($Q$3-1-1)*$Q$4+X45+1,0*$Q$5+W45+1)-0)/$Q$19*$Q$13)</f>
        <v>0.41409999999999997</v>
      </c>
      <c r="AD45" s="6">
        <f>2+$Q$20-(1+$Q$20+_xlfn.AGGREGATE(9,6,AC45:AC45))</f>
        <v>0.58590000000000009</v>
      </c>
      <c r="AE45">
        <f>IF(OR(V45=1,U45&lt;&gt;0),NA(),(INDEX($B$6:$M$21,($Q$3-1-2)*$Q$4+X45+1,0*$Q$5+W45+1)-0)/$Q$19*$Q$13)</f>
        <v>0.55043866666666663</v>
      </c>
      <c r="AF45" s="6">
        <f>3+$Q$20-(2+$Q$20+_xlfn.AGGREGATE(9,6,AE45:AE45))</f>
        <v>0.44956133333333348</v>
      </c>
      <c r="AG45">
        <f>IF(OR(V45=1,U45&lt;&gt;0),NA(),(INDEX($B$6:$M$21,($Q$3-1-3)*$Q$4+X45+1,0*$Q$5+W45+1)-0)/$Q$19*$Q$13)</f>
        <v>0.31466133333333335</v>
      </c>
      <c r="AO45">
        <v>42.5</v>
      </c>
      <c r="AP45">
        <f>IF(OR($Q$17&gt;0,$Q$18&lt;0),NA(),1+$Q$20)</f>
        <v>1</v>
      </c>
    </row>
    <row r="46" spans="16:50" x14ac:dyDescent="0.35">
      <c r="P46">
        <v>23</v>
      </c>
      <c r="Q46">
        <f>P46-$Q$12</f>
        <v>20</v>
      </c>
      <c r="R46">
        <f>IF(Q46&lt;=0,-1,INT((Q46-1)/($Q$10+$Q$11)))</f>
        <v>1</v>
      </c>
      <c r="S46">
        <f>IF(Q46&lt;=0,-1,MOD(Q46-1,($Q$10+$Q$11)))</f>
        <v>6</v>
      </c>
      <c r="T46">
        <f>IF(OR(S46&lt;0,S46&gt;=$Q$10),-1,INT(S46/$Q$9))</f>
        <v>6</v>
      </c>
      <c r="U46">
        <f>IF(OR(S46&lt;0,S46&gt;=$Q$10),-1,MOD(S46,$Q$9))</f>
        <v>0</v>
      </c>
      <c r="V46">
        <f>IF(OR(Q46&lt;=0,S46&lt;0,S46&gt;=$Q$10,R46&gt;=$Q$7),1,0)</f>
        <v>0</v>
      </c>
      <c r="W46">
        <f>IF(V46=1,-1,T46)</f>
        <v>6</v>
      </c>
      <c r="X46">
        <f>IF(V46=1,-1,R46)</f>
        <v>1</v>
      </c>
      <c r="Y46" t="str">
        <f>IF(V46=1,"",IF(AND(MOD(W46,3)=0,U46=INT(($Q$9-1)/2)),INDEX($B$5:$M$5,W46+1),""))</f>
        <v>Jul</v>
      </c>
      <c r="Z46" s="6">
        <f>0+$Q$20</f>
        <v>0</v>
      </c>
      <c r="AA46">
        <f>IF(OR(V46=1,U46&lt;&gt;0),NA(),(INDEX($B$6:$M$21,($Q$3-1-0)*$Q$4+X46+1,0*$Q$5+W46+1)-0)/$Q$19*$Q$13)</f>
        <v>0.59723333333333339</v>
      </c>
      <c r="AB46" s="6">
        <f>1+$Q$20-(0+$Q$20+_xlfn.AGGREGATE(9,6,AA46:AA46))</f>
        <v>0.40276666666666661</v>
      </c>
      <c r="AC46">
        <f>IF(OR(V46=1,U46&lt;&gt;0),NA(),(INDEX($B$6:$M$21,($Q$3-1-1)*$Q$4+X46+1,0*$Q$5+W46+1)-0)/$Q$19*$Q$13)</f>
        <v>0.35697333333333331</v>
      </c>
      <c r="AD46" s="6">
        <f>2+$Q$20-(1+$Q$20+_xlfn.AGGREGATE(9,6,AC46:AC46))</f>
        <v>0.64302666666666664</v>
      </c>
      <c r="AE46">
        <f>IF(OR(V46=1,U46&lt;&gt;0),NA(),(INDEX($B$6:$M$21,($Q$3-1-2)*$Q$4+X46+1,0*$Q$5+W46+1)-0)/$Q$19*$Q$13)</f>
        <v>0.59542933333333337</v>
      </c>
      <c r="AF46" s="6">
        <f>3+$Q$20-(2+$Q$20+_xlfn.AGGREGATE(9,6,AE46:AE46))</f>
        <v>0.40457066666666641</v>
      </c>
      <c r="AG46">
        <f>IF(OR(V46=1,U46&lt;&gt;0),NA(),(INDEX($B$6:$M$21,($Q$3-1-3)*$Q$4+X46+1,0*$Q$5+W46+1)-0)/$Q$19*$Q$13)</f>
        <v>0.35522399999999998</v>
      </c>
      <c r="AO46">
        <v>54.5</v>
      </c>
      <c r="AP46">
        <f>IF(OR($Q$17&gt;0,$Q$18&lt;0),NA(),1+$Q$20)</f>
        <v>1</v>
      </c>
    </row>
    <row r="47" spans="16:50" x14ac:dyDescent="0.35">
      <c r="P47">
        <v>24</v>
      </c>
      <c r="Q47">
        <f>P47-$Q$12</f>
        <v>21</v>
      </c>
      <c r="R47">
        <f>IF(Q47&lt;=0,-1,INT((Q47-1)/($Q$10+$Q$11)))</f>
        <v>1</v>
      </c>
      <c r="S47">
        <f>IF(Q47&lt;=0,-1,MOD(Q47-1,($Q$10+$Q$11)))</f>
        <v>7</v>
      </c>
      <c r="T47">
        <f>IF(OR(S47&lt;0,S47&gt;=$Q$10),-1,INT(S47/$Q$9))</f>
        <v>7</v>
      </c>
      <c r="U47">
        <f>IF(OR(S47&lt;0,S47&gt;=$Q$10),-1,MOD(S47,$Q$9))</f>
        <v>0</v>
      </c>
      <c r="V47">
        <f>IF(OR(Q47&lt;=0,S47&lt;0,S47&gt;=$Q$10,R47&gt;=$Q$7),1,0)</f>
        <v>0</v>
      </c>
      <c r="W47">
        <f>IF(V47=1,-1,T47)</f>
        <v>7</v>
      </c>
      <c r="X47">
        <f>IF(V47=1,-1,R47)</f>
        <v>1</v>
      </c>
      <c r="Y47" t="str">
        <f>IF(V47=1,"",IF(AND(MOD(W47,3)=0,U47=INT(($Q$9-1)/2)),INDEX($B$5:$M$5,W47+1),""))</f>
        <v/>
      </c>
      <c r="Z47" s="6">
        <f>0+$Q$20</f>
        <v>0</v>
      </c>
      <c r="AA47">
        <f>IF(OR(V47=1,U47&lt;&gt;0),NA(),(INDEX($B$6:$M$21,($Q$3-1-0)*$Q$4+X47+1,0*$Q$5+W47+1)-0)/$Q$19*$Q$13)</f>
        <v>0.6429893333333333</v>
      </c>
      <c r="AB47" s="6">
        <f>1+$Q$20-(0+$Q$20+_xlfn.AGGREGATE(9,6,AA47:AA47))</f>
        <v>0.3570106666666667</v>
      </c>
      <c r="AC47">
        <f>IF(OR(V47=1,U47&lt;&gt;0),NA(),(INDEX($B$6:$M$21,($Q$3-1-1)*$Q$4+X47+1,0*$Q$5+W47+1)-0)/$Q$19*$Q$13)</f>
        <v>0.39824666666666664</v>
      </c>
      <c r="AD47" s="6">
        <f>2+$Q$20-(1+$Q$20+_xlfn.AGGREGATE(9,6,AC47:AC47))</f>
        <v>0.60175333333333336</v>
      </c>
      <c r="AE47">
        <f>IF(OR(V47=1,U47&lt;&gt;0),NA(),(INDEX($B$6:$M$21,($Q$3-1-2)*$Q$4+X47+1,0*$Q$5+W47+1)-0)/$Q$19*$Q$13)</f>
        <v>0.5420746666666667</v>
      </c>
      <c r="AF47" s="6">
        <f>3+$Q$20-(2+$Q$20+_xlfn.AGGREGATE(9,6,AE47:AE47))</f>
        <v>0.4579253333333333</v>
      </c>
      <c r="AG47">
        <f>IF(OR(V47=1,U47&lt;&gt;0),NA(),(INDEX($B$6:$M$21,($Q$3-1-3)*$Q$4+X47+1,0*$Q$5+W47+1)-0)/$Q$19*$Q$13)</f>
        <v>0.39573199999999997</v>
      </c>
      <c r="AO47">
        <v>54.5</v>
      </c>
      <c r="AP47" t="e">
        <f>NA()</f>
        <v>#N/A</v>
      </c>
    </row>
    <row r="48" spans="16:50" x14ac:dyDescent="0.35">
      <c r="P48">
        <v>25</v>
      </c>
      <c r="Q48">
        <f>P48-$Q$12</f>
        <v>22</v>
      </c>
      <c r="R48">
        <f>IF(Q48&lt;=0,-1,INT((Q48-1)/($Q$10+$Q$11)))</f>
        <v>1</v>
      </c>
      <c r="S48">
        <f>IF(Q48&lt;=0,-1,MOD(Q48-1,($Q$10+$Q$11)))</f>
        <v>8</v>
      </c>
      <c r="T48">
        <f>IF(OR(S48&lt;0,S48&gt;=$Q$10),-1,INT(S48/$Q$9))</f>
        <v>8</v>
      </c>
      <c r="U48">
        <f>IF(OR(S48&lt;0,S48&gt;=$Q$10),-1,MOD(S48,$Q$9))</f>
        <v>0</v>
      </c>
      <c r="V48">
        <f>IF(OR(Q48&lt;=0,S48&lt;0,S48&gt;=$Q$10,R48&gt;=$Q$7),1,0)</f>
        <v>0</v>
      </c>
      <c r="W48">
        <f>IF(V48=1,-1,T48)</f>
        <v>8</v>
      </c>
      <c r="X48">
        <f>IF(V48=1,-1,R48)</f>
        <v>1</v>
      </c>
      <c r="Y48" t="str">
        <f>IF(V48=1,"",IF(AND(MOD(W48,3)=0,U48=INT(($Q$9-1)/2)),INDEX($B$5:$M$5,W48+1),""))</f>
        <v/>
      </c>
      <c r="Z48" s="6">
        <f>0+$Q$20</f>
        <v>0</v>
      </c>
      <c r="AA48">
        <f>IF(OR(V48=1,U48&lt;&gt;0),NA(),(INDEX($B$6:$M$21,($Q$3-1-0)*$Q$4+X48+1,0*$Q$5+W48+1)-0)/$Q$19*$Q$13)</f>
        <v>0.59039999999999992</v>
      </c>
      <c r="AB48" s="6">
        <f>1+$Q$20-(0+$Q$20+_xlfn.AGGREGATE(9,6,AA48:AA48))</f>
        <v>0.40960000000000008</v>
      </c>
      <c r="AC48">
        <f>IF(OR(V48=1,U48&lt;&gt;0),NA(),(INDEX($B$6:$M$21,($Q$3-1-1)*$Q$4+X48+1,0*$Q$5+W48+1)-0)/$Q$19*$Q$13)</f>
        <v>0.43952000000000002</v>
      </c>
      <c r="AD48" s="6">
        <f>2+$Q$20-(1+$Q$20+_xlfn.AGGREGATE(9,6,AC48:AC48))</f>
        <v>0.56048000000000009</v>
      </c>
      <c r="AE48">
        <f>IF(OR(V48=1,U48&lt;&gt;0),NA(),(INDEX($B$6:$M$21,($Q$3-1-2)*$Q$4+X48+1,0*$Q$5+W48+1)-0)/$Q$19*$Q$13)</f>
        <v>0.58711999999999998</v>
      </c>
      <c r="AF48" s="6">
        <f>3+$Q$20-(2+$Q$20+_xlfn.AGGREGATE(9,6,AE48:AE48))</f>
        <v>0.41287999999999991</v>
      </c>
      <c r="AG48">
        <f>IF(OR(V48=1,U48&lt;&gt;0),NA(),(INDEX($B$6:$M$21,($Q$3-1-3)*$Q$4+X48+1,0*$Q$5+W48+1)-0)/$Q$19*$Q$13)</f>
        <v>0.33783999999999997</v>
      </c>
      <c r="AO48">
        <v>3.5</v>
      </c>
      <c r="AP48">
        <f>IF(OR($Q$17&gt;0,$Q$18&lt;0),NA(),2+$Q$20)</f>
        <v>2</v>
      </c>
    </row>
    <row r="49" spans="16:42" x14ac:dyDescent="0.35">
      <c r="P49">
        <v>26</v>
      </c>
      <c r="Q49">
        <f>P49-$Q$12</f>
        <v>23</v>
      </c>
      <c r="R49">
        <f>IF(Q49&lt;=0,-1,INT((Q49-1)/($Q$10+$Q$11)))</f>
        <v>1</v>
      </c>
      <c r="S49">
        <f>IF(Q49&lt;=0,-1,MOD(Q49-1,($Q$10+$Q$11)))</f>
        <v>9</v>
      </c>
      <c r="T49">
        <f>IF(OR(S49&lt;0,S49&gt;=$Q$10),-1,INT(S49/$Q$9))</f>
        <v>9</v>
      </c>
      <c r="U49">
        <f>IF(OR(S49&lt;0,S49&gt;=$Q$10),-1,MOD(S49,$Q$9))</f>
        <v>0</v>
      </c>
      <c r="V49">
        <f>IF(OR(Q49&lt;=0,S49&lt;0,S49&gt;=$Q$10,R49&gt;=$Q$7),1,0)</f>
        <v>0</v>
      </c>
      <c r="W49">
        <f>IF(V49=1,-1,T49)</f>
        <v>9</v>
      </c>
      <c r="X49">
        <f>IF(V49=1,-1,R49)</f>
        <v>1</v>
      </c>
      <c r="Y49" t="str">
        <f>IF(V49=1,"",IF(AND(MOD(W49,3)=0,U49=INT(($Q$9-1)/2)),INDEX($B$5:$M$5,W49+1),""))</f>
        <v>Oct</v>
      </c>
      <c r="Z49" s="6">
        <f>0+$Q$20</f>
        <v>0</v>
      </c>
      <c r="AA49">
        <f>IF(OR(V49=1,U49&lt;&gt;0),NA(),(INDEX($B$6:$M$21,($Q$3-1-0)*$Q$4+X49+1,0*$Q$5+W49+1)-0)/$Q$19*$Q$13)</f>
        <v>0.63621066666666659</v>
      </c>
      <c r="AB49" s="6">
        <f>1+$Q$20-(0+$Q$20+_xlfn.AGGREGATE(9,6,AA49:AA49))</f>
        <v>0.36378933333333341</v>
      </c>
      <c r="AC49">
        <f>IF(OR(V49=1,U49&lt;&gt;0),NA(),(INDEX($B$6:$M$21,($Q$3-1-1)*$Q$4+X49+1,0*$Q$5+W49+1)-0)/$Q$19*$Q$13)</f>
        <v>0.38239333333333331</v>
      </c>
      <c r="AD49" s="6">
        <f>2+$Q$20-(1+$Q$20+_xlfn.AGGREGATE(9,6,AC49:AC49))</f>
        <v>0.61760666666666664</v>
      </c>
      <c r="AE49">
        <f>IF(OR(V49=1,U49&lt;&gt;0),NA(),(INDEX($B$6:$M$21,($Q$3-1-2)*$Q$4+X49+1,0*$Q$5+W49+1)-0)/$Q$19*$Q$13)</f>
        <v>0.63216533333333336</v>
      </c>
      <c r="AF49" s="6">
        <f>3+$Q$20-(2+$Q$20+_xlfn.AGGREGATE(9,6,AE49:AE49))</f>
        <v>0.36783466666666653</v>
      </c>
      <c r="AG49">
        <f>IF(OR(V49=1,U49&lt;&gt;0),NA(),(INDEX($B$6:$M$21,($Q$3-1-3)*$Q$4+X49+1,0*$Q$5+W49+1)-0)/$Q$19*$Q$13)</f>
        <v>0.37834800000000002</v>
      </c>
      <c r="AO49">
        <v>15.5</v>
      </c>
      <c r="AP49">
        <f>IF(OR($Q$17&gt;0,$Q$18&lt;0),NA(),2+$Q$20)</f>
        <v>2</v>
      </c>
    </row>
    <row r="50" spans="16:42" x14ac:dyDescent="0.35">
      <c r="P50">
        <v>27</v>
      </c>
      <c r="Q50">
        <f>P50-$Q$12</f>
        <v>24</v>
      </c>
      <c r="R50">
        <f>IF(Q50&lt;=0,-1,INT((Q50-1)/($Q$10+$Q$11)))</f>
        <v>1</v>
      </c>
      <c r="S50">
        <f>IF(Q50&lt;=0,-1,MOD(Q50-1,($Q$10+$Q$11)))</f>
        <v>10</v>
      </c>
      <c r="T50">
        <f>IF(OR(S50&lt;0,S50&gt;=$Q$10),-1,INT(S50/$Q$9))</f>
        <v>10</v>
      </c>
      <c r="U50">
        <f>IF(OR(S50&lt;0,S50&gt;=$Q$10),-1,MOD(S50,$Q$9))</f>
        <v>0</v>
      </c>
      <c r="V50">
        <f>IF(OR(Q50&lt;=0,S50&lt;0,S50&gt;=$Q$10,R50&gt;=$Q$7),1,0)</f>
        <v>0</v>
      </c>
      <c r="W50">
        <f>IF(V50=1,-1,T50)</f>
        <v>10</v>
      </c>
      <c r="X50">
        <f>IF(V50=1,-1,R50)</f>
        <v>1</v>
      </c>
      <c r="Y50" t="str">
        <f>IF(V50=1,"",IF(AND(MOD(W50,3)=0,U50=INT(($Q$9-1)/2)),INDEX($B$5:$M$5,W50+1),""))</f>
        <v/>
      </c>
      <c r="Z50" s="6">
        <f>0+$Q$20</f>
        <v>0</v>
      </c>
      <c r="AA50">
        <f>IF(OR(V50=1,U50&lt;&gt;0),NA(),(INDEX($B$6:$M$21,($Q$3-1-0)*$Q$4+X50+1,0*$Q$5+W50+1)-0)/$Q$19*$Q$13)</f>
        <v>0.68196666666666661</v>
      </c>
      <c r="AB50" s="6">
        <f>1+$Q$20-(0+$Q$20+_xlfn.AGGREGATE(9,6,AA50:AA50))</f>
        <v>0.31803333333333339</v>
      </c>
      <c r="AC50">
        <f>IF(OR(V50=1,U50&lt;&gt;0),NA(),(INDEX($B$6:$M$21,($Q$3-1-1)*$Q$4+X50+1,0*$Q$5+W50+1)-0)/$Q$19*$Q$13)</f>
        <v>0.42366666666666669</v>
      </c>
      <c r="AD50" s="6">
        <f>2+$Q$20-(1+$Q$20+_xlfn.AGGREGATE(9,6,AC50:AC50))</f>
        <v>0.57633333333333336</v>
      </c>
      <c r="AE50">
        <f>IF(OR(V50=1,U50&lt;&gt;0),NA(),(INDEX($B$6:$M$21,($Q$3-1-2)*$Q$4+X50+1,0*$Q$5+W50+1)-0)/$Q$19*$Q$13)</f>
        <v>0.57881066666666658</v>
      </c>
      <c r="AF50" s="6">
        <f>3+$Q$20-(2+$Q$20+_xlfn.AGGREGATE(9,6,AE50:AE50))</f>
        <v>0.42118933333333342</v>
      </c>
      <c r="AG50">
        <f>IF(OR(V50=1,U50&lt;&gt;0),NA(),(INDEX($B$6:$M$21,($Q$3-1-3)*$Q$4+X50+1,0*$Q$5+W50+1)-0)/$Q$19*$Q$13)</f>
        <v>0.41885600000000001</v>
      </c>
      <c r="AO50">
        <v>15.5</v>
      </c>
      <c r="AP50" t="e">
        <f>NA()</f>
        <v>#N/A</v>
      </c>
    </row>
    <row r="51" spans="16:42" x14ac:dyDescent="0.35">
      <c r="P51">
        <v>28</v>
      </c>
      <c r="Q51">
        <f>P51-$Q$12</f>
        <v>25</v>
      </c>
      <c r="R51">
        <f>IF(Q51&lt;=0,-1,INT((Q51-1)/($Q$10+$Q$11)))</f>
        <v>1</v>
      </c>
      <c r="S51">
        <f>IF(Q51&lt;=0,-1,MOD(Q51-1,($Q$10+$Q$11)))</f>
        <v>11</v>
      </c>
      <c r="T51">
        <f>IF(OR(S51&lt;0,S51&gt;=$Q$10),-1,INT(S51/$Q$9))</f>
        <v>11</v>
      </c>
      <c r="U51">
        <f>IF(OR(S51&lt;0,S51&gt;=$Q$10),-1,MOD(S51,$Q$9))</f>
        <v>0</v>
      </c>
      <c r="V51">
        <f>IF(OR(Q51&lt;=0,S51&lt;0,S51&gt;=$Q$10,R51&gt;=$Q$7),1,0)</f>
        <v>0</v>
      </c>
      <c r="W51">
        <f>IF(V51=1,-1,T51)</f>
        <v>11</v>
      </c>
      <c r="X51">
        <f>IF(V51=1,-1,R51)</f>
        <v>1</v>
      </c>
      <c r="Y51" t="str">
        <f>IF(V51=1,"",IF(AND(MOD(W51,3)=0,U51=INT(($Q$9-1)/2)),INDEX($B$5:$M$5,W51+1),""))</f>
        <v/>
      </c>
      <c r="Z51" s="6">
        <f>0+$Q$20</f>
        <v>0</v>
      </c>
      <c r="AA51">
        <f>IF(OR(V51=1,U51&lt;&gt;0),NA(),(INDEX($B$6:$M$21,($Q$3-1-0)*$Q$4+X51+1,0*$Q$5+W51+1)-0)/$Q$19*$Q$13)</f>
        <v>0.6293226666666667</v>
      </c>
      <c r="AB51" s="6">
        <f>1+$Q$20-(0+$Q$20+_xlfn.AGGREGATE(9,6,AA51:AA51))</f>
        <v>0.3706773333333333</v>
      </c>
      <c r="AC51">
        <f>IF(OR(V51=1,U51&lt;&gt;0),NA(),(INDEX($B$6:$M$21,($Q$3-1-1)*$Q$4+X51+1,0*$Q$5+W51+1)-0)/$Q$19*$Q$13)</f>
        <v>0.46493999999999991</v>
      </c>
      <c r="AD51" s="6">
        <f>2+$Q$20-(1+$Q$20+_xlfn.AGGREGATE(9,6,AC51:AC51))</f>
        <v>0.53506000000000009</v>
      </c>
      <c r="AE51">
        <f>IF(OR(V51=1,U51&lt;&gt;0),NA(),(INDEX($B$6:$M$21,($Q$3-1-2)*$Q$4+X51+1,0*$Q$5+W51+1)-0)/$Q$19*$Q$13)</f>
        <v>0.62380133333333321</v>
      </c>
      <c r="AF51" s="6">
        <f>3+$Q$20-(2+$Q$20+_xlfn.AGGREGATE(9,6,AE51:AE51))</f>
        <v>0.37619866666666679</v>
      </c>
      <c r="AG51">
        <f>IF(OR(V51=1,U51&lt;&gt;0),NA(),(INDEX($B$6:$M$21,($Q$3-1-3)*$Q$4+X51+1,0*$Q$5+W51+1)-0)/$Q$19*$Q$13)</f>
        <v>0.3610186666666666</v>
      </c>
      <c r="AO51">
        <v>16.5</v>
      </c>
      <c r="AP51">
        <f>IF(OR($Q$17&gt;0,$Q$18&lt;0),NA(),2+$Q$20)</f>
        <v>2</v>
      </c>
    </row>
    <row r="52" spans="16:42" x14ac:dyDescent="0.35">
      <c r="P52">
        <v>29</v>
      </c>
      <c r="Q52">
        <f>P52-$Q$12</f>
        <v>26</v>
      </c>
      <c r="R52">
        <f>IF(Q52&lt;=0,-1,INT((Q52-1)/($Q$10+$Q$11)))</f>
        <v>1</v>
      </c>
      <c r="S52">
        <f>IF(Q52&lt;=0,-1,MOD(Q52-1,($Q$10+$Q$11)))</f>
        <v>12</v>
      </c>
      <c r="T52">
        <f>IF(OR(S52&lt;0,S52&gt;=$Q$10),-1,INT(S52/$Q$9))</f>
        <v>-1</v>
      </c>
      <c r="U52">
        <f>IF(OR(S52&lt;0,S52&gt;=$Q$10),-1,MOD(S52,$Q$9))</f>
        <v>-1</v>
      </c>
      <c r="V52">
        <f>IF(OR(Q52&lt;=0,S52&lt;0,S52&gt;=$Q$10,R52&gt;=$Q$7),1,0)</f>
        <v>1</v>
      </c>
      <c r="W52">
        <f>IF(V52=1,-1,T52)</f>
        <v>-1</v>
      </c>
      <c r="X52">
        <f>IF(V52=1,-1,R52)</f>
        <v>-1</v>
      </c>
      <c r="Y52" t="str">
        <f>IF(V52=1,"",IF(AND(MOD(W52,3)=0,U52=INT(($Q$9-1)/2)),INDEX($B$5:$M$5,W52+1),""))</f>
        <v/>
      </c>
      <c r="Z52" s="6">
        <f>0+$Q$20</f>
        <v>0</v>
      </c>
      <c r="AA52" t="e">
        <f>IF(OR(V52=1,U52&lt;&gt;0),NA(),(INDEX($B$6:$M$21,($Q$3-1-0)*$Q$4+X52+1,0*$Q$5+W52+1)-0)/$Q$19*$Q$13)</f>
        <v>#N/A</v>
      </c>
      <c r="AB52" s="6">
        <f>1+$Q$20-(0+$Q$20+_xlfn.AGGREGATE(9,6,AA52:AA52))</f>
        <v>1</v>
      </c>
      <c r="AC52" t="e">
        <f>IF(OR(V52=1,U52&lt;&gt;0),NA(),(INDEX($B$6:$M$21,($Q$3-1-1)*$Q$4+X52+1,0*$Q$5+W52+1)-0)/$Q$19*$Q$13)</f>
        <v>#N/A</v>
      </c>
      <c r="AD52" s="6">
        <f>2+$Q$20-(1+$Q$20+_xlfn.AGGREGATE(9,6,AC52:AC52))</f>
        <v>1</v>
      </c>
      <c r="AE52" t="e">
        <f>IF(OR(V52=1,U52&lt;&gt;0),NA(),(INDEX($B$6:$M$21,($Q$3-1-2)*$Q$4+X52+1,0*$Q$5+W52+1)-0)/$Q$19*$Q$13)</f>
        <v>#N/A</v>
      </c>
      <c r="AF52" s="6">
        <f>3+$Q$20-(2+$Q$20+_xlfn.AGGREGATE(9,6,AE52:AE52))</f>
        <v>1</v>
      </c>
      <c r="AG52" t="e">
        <f>IF(OR(V52=1,U52&lt;&gt;0),NA(),(INDEX($B$6:$M$21,($Q$3-1-3)*$Q$4+X52+1,0*$Q$5+W52+1)-0)/$Q$19*$Q$13)</f>
        <v>#N/A</v>
      </c>
      <c r="AO52">
        <v>28.5</v>
      </c>
      <c r="AP52">
        <f>IF(OR($Q$17&gt;0,$Q$18&lt;0),NA(),2+$Q$20)</f>
        <v>2</v>
      </c>
    </row>
    <row r="53" spans="16:42" x14ac:dyDescent="0.35">
      <c r="P53">
        <v>30</v>
      </c>
      <c r="Q53">
        <f>P53-$Q$12</f>
        <v>27</v>
      </c>
      <c r="R53">
        <f>IF(Q53&lt;=0,-1,INT((Q53-1)/($Q$10+$Q$11)))</f>
        <v>2</v>
      </c>
      <c r="S53">
        <f>IF(Q53&lt;=0,-1,MOD(Q53-1,($Q$10+$Q$11)))</f>
        <v>0</v>
      </c>
      <c r="T53">
        <f>IF(OR(S53&lt;0,S53&gt;=$Q$10),-1,INT(S53/$Q$9))</f>
        <v>0</v>
      </c>
      <c r="U53">
        <f>IF(OR(S53&lt;0,S53&gt;=$Q$10),-1,MOD(S53,$Q$9))</f>
        <v>0</v>
      </c>
      <c r="V53">
        <f>IF(OR(Q53&lt;=0,S53&lt;0,S53&gt;=$Q$10,R53&gt;=$Q$7),1,0)</f>
        <v>0</v>
      </c>
      <c r="W53">
        <f>IF(V53=1,-1,T53)</f>
        <v>0</v>
      </c>
      <c r="X53">
        <f>IF(V53=1,-1,R53)</f>
        <v>2</v>
      </c>
      <c r="Y53" t="str">
        <f>IF(V53=1,"",IF(AND(MOD(W53,3)=0,U53=INT(($Q$9-1)/2)),INDEX($B$5:$M$5,W53+1),""))</f>
        <v>Jan</v>
      </c>
      <c r="Z53" s="6">
        <f>0+$Q$20</f>
        <v>0</v>
      </c>
      <c r="AA53">
        <f>IF(OR(V53=1,U53&lt;&gt;0),NA(),(INDEX($B$6:$M$21,($Q$3-1-0)*$Q$4+X53+1,0*$Q$5+W53+1)-0)/$Q$19*$Q$13)</f>
        <v>0.43186666666666662</v>
      </c>
      <c r="AB53" s="6">
        <f>1+$Q$20-(0+$Q$20+_xlfn.AGGREGATE(9,6,AA53:AA53))</f>
        <v>0.56813333333333338</v>
      </c>
      <c r="AC53">
        <f>IF(OR(V53=1,U53&lt;&gt;0),NA(),(INDEX($B$6:$M$21,($Q$3-1-1)*$Q$4+X53+1,0*$Q$5+W53+1)-0)/$Q$19*$Q$13)</f>
        <v>0.21866666666666665</v>
      </c>
      <c r="AD53" s="6">
        <f>2+$Q$20-(1+$Q$20+_xlfn.AGGREGATE(9,6,AC53:AC53))</f>
        <v>0.78133333333333344</v>
      </c>
      <c r="AE53">
        <f>IF(OR(V53=1,U53&lt;&gt;0),NA(),(INDEX($B$6:$M$21,($Q$3-1-2)*$Q$4+X53+1,0*$Q$5+W53+1)-0)/$Q$19*$Q$13)</f>
        <v>0.33619999999999994</v>
      </c>
      <c r="AF53" s="6">
        <f>3+$Q$20-(2+$Q$20+_xlfn.AGGREGATE(9,6,AE53:AE53))</f>
        <v>0.66380000000000017</v>
      </c>
      <c r="AG53">
        <f>IF(OR(V53=1,U53&lt;&gt;0),NA(),(INDEX($B$6:$M$21,($Q$3-1-3)*$Q$4+X53+1,0*$Q$5+W53+1)-0)/$Q$19*$Q$13)</f>
        <v>0.55213333333333325</v>
      </c>
      <c r="AO53">
        <v>28.5</v>
      </c>
      <c r="AP53" t="e">
        <f>NA()</f>
        <v>#N/A</v>
      </c>
    </row>
    <row r="54" spans="16:42" x14ac:dyDescent="0.35">
      <c r="P54">
        <v>31</v>
      </c>
      <c r="Q54">
        <f>P54-$Q$12</f>
        <v>28</v>
      </c>
      <c r="R54">
        <f>IF(Q54&lt;=0,-1,INT((Q54-1)/($Q$10+$Q$11)))</f>
        <v>2</v>
      </c>
      <c r="S54">
        <f>IF(Q54&lt;=0,-1,MOD(Q54-1,($Q$10+$Q$11)))</f>
        <v>1</v>
      </c>
      <c r="T54">
        <f>IF(OR(S54&lt;0,S54&gt;=$Q$10),-1,INT(S54/$Q$9))</f>
        <v>1</v>
      </c>
      <c r="U54">
        <f>IF(OR(S54&lt;0,S54&gt;=$Q$10),-1,MOD(S54,$Q$9))</f>
        <v>0</v>
      </c>
      <c r="V54">
        <f>IF(OR(Q54&lt;=0,S54&lt;0,S54&gt;=$Q$10,R54&gt;=$Q$7),1,0)</f>
        <v>0</v>
      </c>
      <c r="W54">
        <f>IF(V54=1,-1,T54)</f>
        <v>1</v>
      </c>
      <c r="X54">
        <f>IF(V54=1,-1,R54)</f>
        <v>2</v>
      </c>
      <c r="Y54" t="str">
        <f>IF(V54=1,"",IF(AND(MOD(W54,3)=0,U54=INT(($Q$9-1)/2)),INDEX($B$5:$M$5,W54+1),""))</f>
        <v/>
      </c>
      <c r="Z54" s="6">
        <f>0+$Q$20</f>
        <v>0</v>
      </c>
      <c r="AA54">
        <f>IF(OR(V54=1,U54&lt;&gt;0),NA(),(INDEX($B$6:$M$21,($Q$3-1-0)*$Q$4+X54+1,0*$Q$5+W54+1)-0)/$Q$19*$Q$13)</f>
        <v>0.37621599999999999</v>
      </c>
      <c r="AB54" s="6">
        <f>1+$Q$20-(0+$Q$20+_xlfn.AGGREGATE(9,6,AA54:AA54))</f>
        <v>0.62378400000000001</v>
      </c>
      <c r="AC54">
        <f>IF(OR(V54=1,U54&lt;&gt;0),NA(),(INDEX($B$6:$M$21,($Q$3-1-1)*$Q$4+X54+1,0*$Q$5+W54+1)-0)/$Q$19*$Q$13)</f>
        <v>0.25693333333333335</v>
      </c>
      <c r="AD54" s="6">
        <f>2+$Q$20-(1+$Q$20+_xlfn.AGGREGATE(9,6,AC54:AC54))</f>
        <v>0.74306666666666654</v>
      </c>
      <c r="AE54">
        <f>IF(OR(V54=1,U54&lt;&gt;0),NA(),(INDEX($B$6:$M$21,($Q$3-1-2)*$Q$4+X54+1,0*$Q$5+W54+1)-0)/$Q$19*$Q$13)</f>
        <v>0.37823866666666661</v>
      </c>
      <c r="AF54" s="6">
        <f>3+$Q$20-(2+$Q$20+_xlfn.AGGREGATE(9,6,AE54:AE54))</f>
        <v>0.62176133333333361</v>
      </c>
      <c r="AG54">
        <f>IF(OR(V54=1,U54&lt;&gt;0),NA(),(INDEX($B$6:$M$21,($Q$3-1-3)*$Q$4+X54+1,0*$Q$5+W54+1)-0)/$Q$19*$Q$13)</f>
        <v>0.4994893333333334</v>
      </c>
      <c r="AO54">
        <v>29.5</v>
      </c>
      <c r="AP54">
        <f>IF(OR($Q$17&gt;0,$Q$18&lt;0),NA(),2+$Q$20)</f>
        <v>2</v>
      </c>
    </row>
    <row r="55" spans="16:42" x14ac:dyDescent="0.35">
      <c r="P55">
        <v>32</v>
      </c>
      <c r="Q55">
        <f>P55-$Q$12</f>
        <v>29</v>
      </c>
      <c r="R55">
        <f>IF(Q55&lt;=0,-1,INT((Q55-1)/($Q$10+$Q$11)))</f>
        <v>2</v>
      </c>
      <c r="S55">
        <f>IF(Q55&lt;=0,-1,MOD(Q55-1,($Q$10+$Q$11)))</f>
        <v>2</v>
      </c>
      <c r="T55">
        <f>IF(OR(S55&lt;0,S55&gt;=$Q$10),-1,INT(S55/$Q$9))</f>
        <v>2</v>
      </c>
      <c r="U55">
        <f>IF(OR(S55&lt;0,S55&gt;=$Q$10),-1,MOD(S55,$Q$9))</f>
        <v>0</v>
      </c>
      <c r="V55">
        <f>IF(OR(Q55&lt;=0,S55&lt;0,S55&gt;=$Q$10,R55&gt;=$Q$7),1,0)</f>
        <v>0</v>
      </c>
      <c r="W55">
        <f>IF(V55=1,-1,T55)</f>
        <v>2</v>
      </c>
      <c r="X55">
        <f>IF(V55=1,-1,R55)</f>
        <v>2</v>
      </c>
      <c r="Y55" t="str">
        <f>IF(V55=1,"",IF(AND(MOD(W55,3)=0,U55=INT(($Q$9-1)/2)),INDEX($B$5:$M$5,W55+1),""))</f>
        <v/>
      </c>
      <c r="Z55" s="6">
        <f>0+$Q$20</f>
        <v>0</v>
      </c>
      <c r="AA55">
        <f>IF(OR(V55=1,U55&lt;&gt;0),NA(),(INDEX($B$6:$M$21,($Q$3-1-0)*$Q$4+X55+1,0*$Q$5+W55+1)-0)/$Q$19*$Q$13)</f>
        <v>0.41902</v>
      </c>
      <c r="AB55" s="6">
        <f>1+$Q$20-(0+$Q$20+_xlfn.AGGREGATE(9,6,AA55:AA55))</f>
        <v>0.58098000000000005</v>
      </c>
      <c r="AC55">
        <f>IF(OR(V55=1,U55&lt;&gt;0),NA(),(INDEX($B$6:$M$21,($Q$3-1-1)*$Q$4+X55+1,0*$Q$5+W55+1)-0)/$Q$19*$Q$13)</f>
        <v>0.19679999999999997</v>
      </c>
      <c r="AD55" s="6">
        <f>2+$Q$20-(1+$Q$20+_xlfn.AGGREGATE(9,6,AC55:AC55))</f>
        <v>0.80319999999999991</v>
      </c>
      <c r="AE55">
        <f>IF(OR(V55=1,U55&lt;&gt;0),NA(),(INDEX($B$6:$M$21,($Q$3-1-2)*$Q$4+X55+1,0*$Q$5+W55+1)-0)/$Q$19*$Q$13)</f>
        <v>0.42027733333333328</v>
      </c>
      <c r="AF55" s="6">
        <f>3+$Q$20-(2+$Q$20+_xlfn.AGGREGATE(9,6,AE55:AE55))</f>
        <v>0.57972266666666661</v>
      </c>
      <c r="AG55">
        <f>IF(OR(V55=1,U55&lt;&gt;0),NA(),(INDEX($B$6:$M$21,($Q$3-1-3)*$Q$4+X55+1,0*$Q$5+W55+1)-0)/$Q$19*$Q$13)</f>
        <v>0.54530000000000001</v>
      </c>
      <c r="AO55">
        <v>41.5</v>
      </c>
      <c r="AP55">
        <f>IF(OR($Q$17&gt;0,$Q$18&lt;0),NA(),2+$Q$20)</f>
        <v>2</v>
      </c>
    </row>
    <row r="56" spans="16:42" x14ac:dyDescent="0.35">
      <c r="P56">
        <v>33</v>
      </c>
      <c r="Q56">
        <f>P56-$Q$12</f>
        <v>30</v>
      </c>
      <c r="R56">
        <f>IF(Q56&lt;=0,-1,INT((Q56-1)/($Q$10+$Q$11)))</f>
        <v>2</v>
      </c>
      <c r="S56">
        <f>IF(Q56&lt;=0,-1,MOD(Q56-1,($Q$10+$Q$11)))</f>
        <v>3</v>
      </c>
      <c r="T56">
        <f>IF(OR(S56&lt;0,S56&gt;=$Q$10),-1,INT(S56/$Q$9))</f>
        <v>3</v>
      </c>
      <c r="U56">
        <f>IF(OR(S56&lt;0,S56&gt;=$Q$10),-1,MOD(S56,$Q$9))</f>
        <v>0</v>
      </c>
      <c r="V56">
        <f>IF(OR(Q56&lt;=0,S56&lt;0,S56&gt;=$Q$10,R56&gt;=$Q$7),1,0)</f>
        <v>0</v>
      </c>
      <c r="W56">
        <f>IF(V56=1,-1,T56)</f>
        <v>3</v>
      </c>
      <c r="X56">
        <f>IF(V56=1,-1,R56)</f>
        <v>2</v>
      </c>
      <c r="Y56" t="str">
        <f>IF(V56=1,"",IF(AND(MOD(W56,3)=0,U56=INT(($Q$9-1)/2)),INDEX($B$5:$M$5,W56+1),""))</f>
        <v>Apr</v>
      </c>
      <c r="Z56" s="6">
        <f>0+$Q$20</f>
        <v>0</v>
      </c>
      <c r="AA56">
        <f>IF(OR(V56=1,U56&lt;&gt;0),NA(),(INDEX($B$6:$M$21,($Q$3-1-0)*$Q$4+X56+1,0*$Q$5+W56+1)-0)/$Q$19*$Q$13)</f>
        <v>0.4618239999999999</v>
      </c>
      <c r="AB56" s="6">
        <f>1+$Q$20-(0+$Q$20+_xlfn.AGGREGATE(9,6,AA56:AA56))</f>
        <v>0.5381760000000001</v>
      </c>
      <c r="AC56">
        <f>IF(OR(V56=1,U56&lt;&gt;0),NA(),(INDEX($B$6:$M$21,($Q$3-1-1)*$Q$4+X56+1,0*$Q$5+W56+1)-0)/$Q$19*$Q$13)</f>
        <v>0.23506666666666667</v>
      </c>
      <c r="AD56" s="6">
        <f>2+$Q$20-(1+$Q$20+_xlfn.AGGREGATE(9,6,AC56:AC56))</f>
        <v>0.76493333333333324</v>
      </c>
      <c r="AE56">
        <f>IF(OR(V56=1,U56&lt;&gt;0),NA(),(INDEX($B$6:$M$21,($Q$3-1-2)*$Q$4+X56+1,0*$Q$5+W56+1)-0)/$Q$19*$Q$13)</f>
        <v>0.36386133333333331</v>
      </c>
      <c r="AF56" s="6">
        <f>3+$Q$20-(2+$Q$20+_xlfn.AGGREGATE(9,6,AE56:AE56))</f>
        <v>0.63613866666666663</v>
      </c>
      <c r="AG56">
        <f>IF(OR(V56=1,U56&lt;&gt;0),NA(),(INDEX($B$6:$M$21,($Q$3-1-3)*$Q$4+X56+1,0*$Q$5+W56+1)-0)/$Q$19*$Q$13)</f>
        <v>0.59105599999999991</v>
      </c>
      <c r="AO56">
        <v>41.5</v>
      </c>
      <c r="AP56" t="e">
        <f>NA()</f>
        <v>#N/A</v>
      </c>
    </row>
    <row r="57" spans="16:42" x14ac:dyDescent="0.35">
      <c r="P57">
        <v>34</v>
      </c>
      <c r="Q57">
        <f>P57-$Q$12</f>
        <v>31</v>
      </c>
      <c r="R57">
        <f>IF(Q57&lt;=0,-1,INT((Q57-1)/($Q$10+$Q$11)))</f>
        <v>2</v>
      </c>
      <c r="S57">
        <f>IF(Q57&lt;=0,-1,MOD(Q57-1,($Q$10+$Q$11)))</f>
        <v>4</v>
      </c>
      <c r="T57">
        <f>IF(OR(S57&lt;0,S57&gt;=$Q$10),-1,INT(S57/$Q$9))</f>
        <v>4</v>
      </c>
      <c r="U57">
        <f>IF(OR(S57&lt;0,S57&gt;=$Q$10),-1,MOD(S57,$Q$9))</f>
        <v>0</v>
      </c>
      <c r="V57">
        <f>IF(OR(Q57&lt;=0,S57&lt;0,S57&gt;=$Q$10,R57&gt;=$Q$7),1,0)</f>
        <v>0</v>
      </c>
      <c r="W57">
        <f>IF(V57=1,-1,T57)</f>
        <v>4</v>
      </c>
      <c r="X57">
        <f>IF(V57=1,-1,R57)</f>
        <v>2</v>
      </c>
      <c r="Y57" t="str">
        <f>IF(V57=1,"",IF(AND(MOD(W57,3)=0,U57=INT(($Q$9-1)/2)),INDEX($B$5:$M$5,W57+1),""))</f>
        <v/>
      </c>
      <c r="Z57" s="6">
        <f>0+$Q$20</f>
        <v>0</v>
      </c>
      <c r="AA57">
        <f>IF(OR(V57=1,U57&lt;&gt;0),NA(),(INDEX($B$6:$M$21,($Q$3-1-0)*$Q$4+X57+1,0*$Q$5+W57+1)-0)/$Q$19*$Q$13)</f>
        <v>0.40617333333333333</v>
      </c>
      <c r="AB57" s="6">
        <f>1+$Q$20-(0+$Q$20+_xlfn.AGGREGATE(9,6,AA57:AA57))</f>
        <v>0.59382666666666672</v>
      </c>
      <c r="AC57">
        <f>IF(OR(V57=1,U57&lt;&gt;0),NA(),(INDEX($B$6:$M$21,($Q$3-1-1)*$Q$4+X57+1,0*$Q$5+W57+1)-0)/$Q$19*$Q$13)</f>
        <v>0.27333333333333332</v>
      </c>
      <c r="AD57" s="6">
        <f>2+$Q$20-(1+$Q$20+_xlfn.AGGREGATE(9,6,AC57:AC57))</f>
        <v>0.72666666666666657</v>
      </c>
      <c r="AE57">
        <f>IF(OR(V57=1,U57&lt;&gt;0),NA(),(INDEX($B$6:$M$21,($Q$3-1-2)*$Q$4+X57+1,0*$Q$5+W57+1)-0)/$Q$19*$Q$13)</f>
        <v>0.40589999999999998</v>
      </c>
      <c r="AF57" s="6">
        <f>3+$Q$20-(2+$Q$20+_xlfn.AGGREGATE(9,6,AE57:AE57))</f>
        <v>0.59410000000000007</v>
      </c>
      <c r="AG57">
        <f>IF(OR(V57=1,U57&lt;&gt;0),NA(),(INDEX($B$6:$M$21,($Q$3-1-3)*$Q$4+X57+1,0*$Q$5+W57+1)-0)/$Q$19*$Q$13)</f>
        <v>0.53846666666666665</v>
      </c>
      <c r="AO57">
        <v>42.5</v>
      </c>
      <c r="AP57">
        <f>IF(OR($Q$17&gt;0,$Q$18&lt;0),NA(),2+$Q$20)</f>
        <v>2</v>
      </c>
    </row>
    <row r="58" spans="16:42" x14ac:dyDescent="0.35">
      <c r="P58">
        <v>35</v>
      </c>
      <c r="Q58">
        <f>P58-$Q$12</f>
        <v>32</v>
      </c>
      <c r="R58">
        <f>IF(Q58&lt;=0,-1,INT((Q58-1)/($Q$10+$Q$11)))</f>
        <v>2</v>
      </c>
      <c r="S58">
        <f>IF(Q58&lt;=0,-1,MOD(Q58-1,($Q$10+$Q$11)))</f>
        <v>5</v>
      </c>
      <c r="T58">
        <f>IF(OR(S58&lt;0,S58&gt;=$Q$10),-1,INT(S58/$Q$9))</f>
        <v>5</v>
      </c>
      <c r="U58">
        <f>IF(OR(S58&lt;0,S58&gt;=$Q$10),-1,MOD(S58,$Q$9))</f>
        <v>0</v>
      </c>
      <c r="V58">
        <f>IF(OR(Q58&lt;=0,S58&lt;0,S58&gt;=$Q$10,R58&gt;=$Q$7),1,0)</f>
        <v>0</v>
      </c>
      <c r="W58">
        <f>IF(V58=1,-1,T58)</f>
        <v>5</v>
      </c>
      <c r="X58">
        <f>IF(V58=1,-1,R58)</f>
        <v>2</v>
      </c>
      <c r="Y58" t="str">
        <f>IF(V58=1,"",IF(AND(MOD(W58,3)=0,U58=INT(($Q$9-1)/2)),INDEX($B$5:$M$5,W58+1),""))</f>
        <v/>
      </c>
      <c r="Z58" s="6">
        <f>0+$Q$20</f>
        <v>0</v>
      </c>
      <c r="AA58">
        <f>IF(OR(V58=1,U58&lt;&gt;0),NA(),(INDEX($B$6:$M$21,($Q$3-1-0)*$Q$4+X58+1,0*$Q$5+W58+1)-0)/$Q$19*$Q$13)</f>
        <v>0.44892266666666664</v>
      </c>
      <c r="AB58" s="6">
        <f>1+$Q$20-(0+$Q$20+_xlfn.AGGREGATE(9,6,AA58:AA58))</f>
        <v>0.55107733333333342</v>
      </c>
      <c r="AC58">
        <f>IF(OR(V58=1,U58&lt;&gt;0),NA(),(INDEX($B$6:$M$21,($Q$3-1-1)*$Q$4+X58+1,0*$Q$5+W58+1)-0)/$Q$19*$Q$13)</f>
        <v>0.2132</v>
      </c>
      <c r="AD58" s="6">
        <f>2+$Q$20-(1+$Q$20+_xlfn.AGGREGATE(9,6,AC58:AC58))</f>
        <v>0.78679999999999994</v>
      </c>
      <c r="AE58">
        <f>IF(OR(V58=1,U58&lt;&gt;0),NA(),(INDEX($B$6:$M$21,($Q$3-1-2)*$Q$4+X58+1,0*$Q$5+W58+1)-0)/$Q$19*$Q$13)</f>
        <v>0.44793866666666665</v>
      </c>
      <c r="AF58" s="6">
        <f>3+$Q$20-(2+$Q$20+_xlfn.AGGREGATE(9,6,AE58:AE58))</f>
        <v>0.55206133333333351</v>
      </c>
      <c r="AG58">
        <f>IF(OR(V58=1,U58&lt;&gt;0),NA(),(INDEX($B$6:$M$21,($Q$3-1-3)*$Q$4+X58+1,0*$Q$5+W58+1)-0)/$Q$19*$Q$13)</f>
        <v>0.58427733333333332</v>
      </c>
      <c r="AO58">
        <v>54.5</v>
      </c>
      <c r="AP58">
        <f>IF(OR($Q$17&gt;0,$Q$18&lt;0),NA(),2+$Q$20)</f>
        <v>2</v>
      </c>
    </row>
    <row r="59" spans="16:42" x14ac:dyDescent="0.35">
      <c r="P59">
        <v>36</v>
      </c>
      <c r="Q59">
        <f>P59-$Q$12</f>
        <v>33</v>
      </c>
      <c r="R59">
        <f>IF(Q59&lt;=0,-1,INT((Q59-1)/($Q$10+$Q$11)))</f>
        <v>2</v>
      </c>
      <c r="S59">
        <f>IF(Q59&lt;=0,-1,MOD(Q59-1,($Q$10+$Q$11)))</f>
        <v>6</v>
      </c>
      <c r="T59">
        <f>IF(OR(S59&lt;0,S59&gt;=$Q$10),-1,INT(S59/$Q$9))</f>
        <v>6</v>
      </c>
      <c r="U59">
        <f>IF(OR(S59&lt;0,S59&gt;=$Q$10),-1,MOD(S59,$Q$9))</f>
        <v>0</v>
      </c>
      <c r="V59">
        <f>IF(OR(Q59&lt;=0,S59&lt;0,S59&gt;=$Q$10,R59&gt;=$Q$7),1,0)</f>
        <v>0</v>
      </c>
      <c r="W59">
        <f>IF(V59=1,-1,T59)</f>
        <v>6</v>
      </c>
      <c r="X59">
        <f>IF(V59=1,-1,R59)</f>
        <v>2</v>
      </c>
      <c r="Y59" t="str">
        <f>IF(V59=1,"",IF(AND(MOD(W59,3)=0,U59=INT(($Q$9-1)/2)),INDEX($B$5:$M$5,W59+1),""))</f>
        <v>Jul</v>
      </c>
      <c r="Z59" s="6">
        <f>0+$Q$20</f>
        <v>0</v>
      </c>
      <c r="AA59">
        <f>IF(OR(V59=1,U59&lt;&gt;0),NA(),(INDEX($B$6:$M$21,($Q$3-1-0)*$Q$4+X59+1,0*$Q$5+W59+1)-0)/$Q$19*$Q$13)</f>
        <v>0.49172666666666665</v>
      </c>
      <c r="AB59" s="6">
        <f>1+$Q$20-(0+$Q$20+_xlfn.AGGREGATE(9,6,AA59:AA59))</f>
        <v>0.50827333333333335</v>
      </c>
      <c r="AC59">
        <f>IF(OR(V59=1,U59&lt;&gt;0),NA(),(INDEX($B$6:$M$21,($Q$3-1-1)*$Q$4+X59+1,0*$Q$5+W59+1)-0)/$Q$19*$Q$13)</f>
        <v>0.25146666666666662</v>
      </c>
      <c r="AD59" s="6">
        <f>2+$Q$20-(1+$Q$20+_xlfn.AGGREGATE(9,6,AC59:AC59))</f>
        <v>0.74853333333333349</v>
      </c>
      <c r="AE59">
        <f>IF(OR(V59=1,U59&lt;&gt;0),NA(),(INDEX($B$6:$M$21,($Q$3-1-2)*$Q$4+X59+1,0*$Q$5+W59+1)-0)/$Q$19*$Q$13)</f>
        <v>0.39152266666666669</v>
      </c>
      <c r="AF59" s="6">
        <f>3+$Q$20-(2+$Q$20+_xlfn.AGGREGATE(9,6,AE59:AE59))</f>
        <v>0.60847733333333309</v>
      </c>
      <c r="AG59">
        <f>IF(OR(V59=1,U59&lt;&gt;0),NA(),(INDEX($B$6:$M$21,($Q$3-1-3)*$Q$4+X59+1,0*$Q$5+W59+1)-0)/$Q$19*$Q$13)</f>
        <v>0.63003333333333333</v>
      </c>
      <c r="AO59">
        <v>54.5</v>
      </c>
      <c r="AP59" t="e">
        <f>NA()</f>
        <v>#N/A</v>
      </c>
    </row>
    <row r="60" spans="16:42" x14ac:dyDescent="0.35">
      <c r="P60">
        <v>37</v>
      </c>
      <c r="Q60">
        <f>P60-$Q$12</f>
        <v>34</v>
      </c>
      <c r="R60">
        <f>IF(Q60&lt;=0,-1,INT((Q60-1)/($Q$10+$Q$11)))</f>
        <v>2</v>
      </c>
      <c r="S60">
        <f>IF(Q60&lt;=0,-1,MOD(Q60-1,($Q$10+$Q$11)))</f>
        <v>7</v>
      </c>
      <c r="T60">
        <f>IF(OR(S60&lt;0,S60&gt;=$Q$10),-1,INT(S60/$Q$9))</f>
        <v>7</v>
      </c>
      <c r="U60">
        <f>IF(OR(S60&lt;0,S60&gt;=$Q$10),-1,MOD(S60,$Q$9))</f>
        <v>0</v>
      </c>
      <c r="V60">
        <f>IF(OR(Q60&lt;=0,S60&lt;0,S60&gt;=$Q$10,R60&gt;=$Q$7),1,0)</f>
        <v>0</v>
      </c>
      <c r="W60">
        <f>IF(V60=1,-1,T60)</f>
        <v>7</v>
      </c>
      <c r="X60">
        <f>IF(V60=1,-1,R60)</f>
        <v>2</v>
      </c>
      <c r="Y60" t="str">
        <f>IF(V60=1,"",IF(AND(MOD(W60,3)=0,U60=INT(($Q$9-1)/2)),INDEX($B$5:$M$5,W60+1),""))</f>
        <v/>
      </c>
      <c r="Z60" s="6">
        <f>0+$Q$20</f>
        <v>0</v>
      </c>
      <c r="AA60">
        <f>IF(OR(V60=1,U60&lt;&gt;0),NA(),(INDEX($B$6:$M$21,($Q$3-1-0)*$Q$4+X60+1,0*$Q$5+W60+1)-0)/$Q$19*$Q$13)</f>
        <v>0.43613066666666661</v>
      </c>
      <c r="AB60" s="6">
        <f>1+$Q$20-(0+$Q$20+_xlfn.AGGREGATE(9,6,AA60:AA60))</f>
        <v>0.56386933333333333</v>
      </c>
      <c r="AC60">
        <f>IF(OR(V60=1,U60&lt;&gt;0),NA(),(INDEX($B$6:$M$21,($Q$3-1-1)*$Q$4+X60+1,0*$Q$5+W60+1)-0)/$Q$19*$Q$13)</f>
        <v>0.28973333333333334</v>
      </c>
      <c r="AD60" s="6">
        <f>2+$Q$20-(1+$Q$20+_xlfn.AGGREGATE(9,6,AC60:AC60))</f>
        <v>0.7102666666666666</v>
      </c>
      <c r="AE60">
        <f>IF(OR(V60=1,U60&lt;&gt;0),NA(),(INDEX($B$6:$M$21,($Q$3-1-2)*$Q$4+X60+1,0*$Q$5+W60+1)-0)/$Q$19*$Q$13)</f>
        <v>0.43356133333333335</v>
      </c>
      <c r="AF60" s="6">
        <f>3+$Q$20-(2+$Q$20+_xlfn.AGGREGATE(9,6,AE60:AE60))</f>
        <v>0.56643866666666653</v>
      </c>
      <c r="AG60">
        <f>IF(OR(V60=1,U60&lt;&gt;0),NA(),(INDEX($B$6:$M$21,($Q$3-1-3)*$Q$4+X60+1,0*$Q$5+W60+1)-0)/$Q$19*$Q$13)</f>
        <v>0.57738933333333331</v>
      </c>
      <c r="AO60">
        <v>3.5</v>
      </c>
      <c r="AP60">
        <f>IF(OR($Q$17&gt;0,$Q$18&lt;0),NA(),3+$Q$20)</f>
        <v>3</v>
      </c>
    </row>
    <row r="61" spans="16:42" x14ac:dyDescent="0.35">
      <c r="P61">
        <v>38</v>
      </c>
      <c r="Q61">
        <f>P61-$Q$12</f>
        <v>35</v>
      </c>
      <c r="R61">
        <f>IF(Q61&lt;=0,-1,INT((Q61-1)/($Q$10+$Q$11)))</f>
        <v>2</v>
      </c>
      <c r="S61">
        <f>IF(Q61&lt;=0,-1,MOD(Q61-1,($Q$10+$Q$11)))</f>
        <v>8</v>
      </c>
      <c r="T61">
        <f>IF(OR(S61&lt;0,S61&gt;=$Q$10),-1,INT(S61/$Q$9))</f>
        <v>8</v>
      </c>
      <c r="U61">
        <f>IF(OR(S61&lt;0,S61&gt;=$Q$10),-1,MOD(S61,$Q$9))</f>
        <v>0</v>
      </c>
      <c r="V61">
        <f>IF(OR(Q61&lt;=0,S61&lt;0,S61&gt;=$Q$10,R61&gt;=$Q$7),1,0)</f>
        <v>0</v>
      </c>
      <c r="W61">
        <f>IF(V61=1,-1,T61)</f>
        <v>8</v>
      </c>
      <c r="X61">
        <f>IF(V61=1,-1,R61)</f>
        <v>2</v>
      </c>
      <c r="Y61" t="str">
        <f>IF(V61=1,"",IF(AND(MOD(W61,3)=0,U61=INT(($Q$9-1)/2)),INDEX($B$5:$M$5,W61+1),""))</f>
        <v/>
      </c>
      <c r="Z61" s="6">
        <f>0+$Q$20</f>
        <v>0</v>
      </c>
      <c r="AA61">
        <f>IF(OR(V61=1,U61&lt;&gt;0),NA(),(INDEX($B$6:$M$21,($Q$3-1-0)*$Q$4+X61+1,0*$Q$5+W61+1)-0)/$Q$19*$Q$13)</f>
        <v>0.47887999999999992</v>
      </c>
      <c r="AB61" s="6">
        <f>1+$Q$20-(0+$Q$20+_xlfn.AGGREGATE(9,6,AA61:AA61))</f>
        <v>0.52112000000000003</v>
      </c>
      <c r="AC61">
        <f>IF(OR(V61=1,U61&lt;&gt;0),NA(),(INDEX($B$6:$M$21,($Q$3-1-1)*$Q$4+X61+1,0*$Q$5+W61+1)-0)/$Q$19*$Q$13)</f>
        <v>0.2296</v>
      </c>
      <c r="AD61" s="6">
        <f>2+$Q$20-(1+$Q$20+_xlfn.AGGREGATE(9,6,AC61:AC61))</f>
        <v>0.77039999999999997</v>
      </c>
      <c r="AE61">
        <f>IF(OR(V61=1,U61&lt;&gt;0),NA(),(INDEX($B$6:$M$21,($Q$3-1-2)*$Q$4+X61+1,0*$Q$5+W61+1)-0)/$Q$19*$Q$13)</f>
        <v>0.47559999999999991</v>
      </c>
      <c r="AF61" s="6">
        <f>3+$Q$20-(2+$Q$20+_xlfn.AGGREGATE(9,6,AE61:AE61))</f>
        <v>0.52439999999999998</v>
      </c>
      <c r="AG61">
        <f>IF(OR(V61=1,U61&lt;&gt;0),NA(),(INDEX($B$6:$M$21,($Q$3-1-3)*$Q$4+X61+1,0*$Q$5+W61+1)-0)/$Q$19*$Q$13)</f>
        <v>0.62319999999999998</v>
      </c>
      <c r="AO61">
        <v>15.5</v>
      </c>
      <c r="AP61">
        <f>IF(OR($Q$17&gt;0,$Q$18&lt;0),NA(),3+$Q$20)</f>
        <v>3</v>
      </c>
    </row>
    <row r="62" spans="16:42" x14ac:dyDescent="0.35">
      <c r="P62">
        <v>39</v>
      </c>
      <c r="Q62">
        <f>P62-$Q$12</f>
        <v>36</v>
      </c>
      <c r="R62">
        <f>IF(Q62&lt;=0,-1,INT((Q62-1)/($Q$10+$Q$11)))</f>
        <v>2</v>
      </c>
      <c r="S62">
        <f>IF(Q62&lt;=0,-1,MOD(Q62-1,($Q$10+$Q$11)))</f>
        <v>9</v>
      </c>
      <c r="T62">
        <f>IF(OR(S62&lt;0,S62&gt;=$Q$10),-1,INT(S62/$Q$9))</f>
        <v>9</v>
      </c>
      <c r="U62">
        <f>IF(OR(S62&lt;0,S62&gt;=$Q$10),-1,MOD(S62,$Q$9))</f>
        <v>0</v>
      </c>
      <c r="V62">
        <f>IF(OR(Q62&lt;=0,S62&lt;0,S62&gt;=$Q$10,R62&gt;=$Q$7),1,0)</f>
        <v>0</v>
      </c>
      <c r="W62">
        <f>IF(V62=1,-1,T62)</f>
        <v>9</v>
      </c>
      <c r="X62">
        <f>IF(V62=1,-1,R62)</f>
        <v>2</v>
      </c>
      <c r="Y62" t="str">
        <f>IF(V62=1,"",IF(AND(MOD(W62,3)=0,U62=INT(($Q$9-1)/2)),INDEX($B$5:$M$5,W62+1),""))</f>
        <v>Oct</v>
      </c>
      <c r="Z62" s="6">
        <f>0+$Q$20</f>
        <v>0</v>
      </c>
      <c r="AA62">
        <f>IF(OR(V62=1,U62&lt;&gt;0),NA(),(INDEX($B$6:$M$21,($Q$3-1-0)*$Q$4+X62+1,0*$Q$5+W62+1)-0)/$Q$19*$Q$13)</f>
        <v>0.52168399999999993</v>
      </c>
      <c r="AB62" s="6">
        <f>1+$Q$20-(0+$Q$20+_xlfn.AGGREGATE(9,6,AA62:AA62))</f>
        <v>0.47831600000000007</v>
      </c>
      <c r="AC62">
        <f>IF(OR(V62=1,U62&lt;&gt;0),NA(),(INDEX($B$6:$M$21,($Q$3-1-1)*$Q$4+X62+1,0*$Q$5+W62+1)-0)/$Q$19*$Q$13)</f>
        <v>0.26786666666666664</v>
      </c>
      <c r="AD62" s="6">
        <f>2+$Q$20-(1+$Q$20+_xlfn.AGGREGATE(9,6,AC62:AC62))</f>
        <v>0.7321333333333333</v>
      </c>
      <c r="AE62">
        <f>IF(OR(V62=1,U62&lt;&gt;0),NA(),(INDEX($B$6:$M$21,($Q$3-1-2)*$Q$4+X62+1,0*$Q$5+W62+1)-0)/$Q$19*$Q$13)</f>
        <v>0.41923866666666665</v>
      </c>
      <c r="AF62" s="6">
        <f>3+$Q$20-(2+$Q$20+_xlfn.AGGREGATE(9,6,AE62:AE62))</f>
        <v>0.58076133333333324</v>
      </c>
      <c r="AG62">
        <f>IF(OR(V62=1,U62&lt;&gt;0),NA(),(INDEX($B$6:$M$21,($Q$3-1-3)*$Q$4+X62+1,0*$Q$5+W62+1)-0)/$Q$19*$Q$13)</f>
        <v>0.66901066666666664</v>
      </c>
      <c r="AO62">
        <v>15.5</v>
      </c>
      <c r="AP62" t="e">
        <f>NA()</f>
        <v>#N/A</v>
      </c>
    </row>
    <row r="63" spans="16:42" x14ac:dyDescent="0.35">
      <c r="P63">
        <v>40</v>
      </c>
      <c r="Q63">
        <f>P63-$Q$12</f>
        <v>37</v>
      </c>
      <c r="R63">
        <f>IF(Q63&lt;=0,-1,INT((Q63-1)/($Q$10+$Q$11)))</f>
        <v>2</v>
      </c>
      <c r="S63">
        <f>IF(Q63&lt;=0,-1,MOD(Q63-1,($Q$10+$Q$11)))</f>
        <v>10</v>
      </c>
      <c r="T63">
        <f>IF(OR(S63&lt;0,S63&gt;=$Q$10),-1,INT(S63/$Q$9))</f>
        <v>10</v>
      </c>
      <c r="U63">
        <f>IF(OR(S63&lt;0,S63&gt;=$Q$10),-1,MOD(S63,$Q$9))</f>
        <v>0</v>
      </c>
      <c r="V63">
        <f>IF(OR(Q63&lt;=0,S63&lt;0,S63&gt;=$Q$10,R63&gt;=$Q$7),1,0)</f>
        <v>0</v>
      </c>
      <c r="W63">
        <f>IF(V63=1,-1,T63)</f>
        <v>10</v>
      </c>
      <c r="X63">
        <f>IF(V63=1,-1,R63)</f>
        <v>2</v>
      </c>
      <c r="Y63" t="str">
        <f>IF(V63=1,"",IF(AND(MOD(W63,3)=0,U63=INT(($Q$9-1)/2)),INDEX($B$5:$M$5,W63+1),""))</f>
        <v/>
      </c>
      <c r="Z63" s="6">
        <f>0+$Q$20</f>
        <v>0</v>
      </c>
      <c r="AA63">
        <f>IF(OR(V63=1,U63&lt;&gt;0),NA(),(INDEX($B$6:$M$21,($Q$3-1-0)*$Q$4+X63+1,0*$Q$5+W63+1)-0)/$Q$19*$Q$13)</f>
        <v>0.4660333333333333</v>
      </c>
      <c r="AB63" s="6">
        <f>1+$Q$20-(0+$Q$20+_xlfn.AGGREGATE(9,6,AA63:AA63))</f>
        <v>0.5339666666666667</v>
      </c>
      <c r="AC63">
        <f>IF(OR(V63=1,U63&lt;&gt;0),NA(),(INDEX($B$6:$M$21,($Q$3-1-1)*$Q$4+X63+1,0*$Q$5+W63+1)-0)/$Q$19*$Q$13)</f>
        <v>0.30613333333333331</v>
      </c>
      <c r="AD63" s="6">
        <f>2+$Q$20-(1+$Q$20+_xlfn.AGGREGATE(9,6,AC63:AC63))</f>
        <v>0.69386666666666663</v>
      </c>
      <c r="AE63">
        <f>IF(OR(V63=1,U63&lt;&gt;0),NA(),(INDEX($B$6:$M$21,($Q$3-1-2)*$Q$4+X63+1,0*$Q$5+W63+1)-0)/$Q$19*$Q$13)</f>
        <v>0.46127733333333332</v>
      </c>
      <c r="AF63" s="6">
        <f>3+$Q$20-(2+$Q$20+_xlfn.AGGREGATE(9,6,AE63:AE63))</f>
        <v>0.53872266666666668</v>
      </c>
      <c r="AG63">
        <f>IF(OR(V63=1,U63&lt;&gt;0),NA(),(INDEX($B$6:$M$21,($Q$3-1-3)*$Q$4+X63+1,0*$Q$5+W63+1)-0)/$Q$19*$Q$13)</f>
        <v>0.61636666666666662</v>
      </c>
      <c r="AO63">
        <v>16.5</v>
      </c>
      <c r="AP63">
        <f>IF(OR($Q$17&gt;0,$Q$18&lt;0),NA(),3+$Q$20)</f>
        <v>3</v>
      </c>
    </row>
    <row r="64" spans="16:42" x14ac:dyDescent="0.35">
      <c r="P64">
        <v>41</v>
      </c>
      <c r="Q64">
        <f>P64-$Q$12</f>
        <v>38</v>
      </c>
      <c r="R64">
        <f>IF(Q64&lt;=0,-1,INT((Q64-1)/($Q$10+$Q$11)))</f>
        <v>2</v>
      </c>
      <c r="S64">
        <f>IF(Q64&lt;=0,-1,MOD(Q64-1,($Q$10+$Q$11)))</f>
        <v>11</v>
      </c>
      <c r="T64">
        <f>IF(OR(S64&lt;0,S64&gt;=$Q$10),-1,INT(S64/$Q$9))</f>
        <v>11</v>
      </c>
      <c r="U64">
        <f>IF(OR(S64&lt;0,S64&gt;=$Q$10),-1,MOD(S64,$Q$9))</f>
        <v>0</v>
      </c>
      <c r="V64">
        <f>IF(OR(Q64&lt;=0,S64&lt;0,S64&gt;=$Q$10,R64&gt;=$Q$7),1,0)</f>
        <v>0</v>
      </c>
      <c r="W64">
        <f>IF(V64=1,-1,T64)</f>
        <v>11</v>
      </c>
      <c r="X64">
        <f>IF(V64=1,-1,R64)</f>
        <v>2</v>
      </c>
      <c r="Y64" t="str">
        <f>IF(V64=1,"",IF(AND(MOD(W64,3)=0,U64=INT(($Q$9-1)/2)),INDEX($B$5:$M$5,W64+1),""))</f>
        <v/>
      </c>
      <c r="Z64" s="6">
        <f>0+$Q$20</f>
        <v>0</v>
      </c>
      <c r="AA64">
        <f>IF(OR(V64=1,U64&lt;&gt;0),NA(),(INDEX($B$6:$M$21,($Q$3-1-0)*$Q$4+X64+1,0*$Q$5+W64+1)-0)/$Q$19*$Q$13)</f>
        <v>0.50878266666666672</v>
      </c>
      <c r="AB64" s="6">
        <f>1+$Q$20-(0+$Q$20+_xlfn.AGGREGATE(9,6,AA64:AA64))</f>
        <v>0.49121733333333328</v>
      </c>
      <c r="AC64">
        <f>IF(OR(V64=1,U64&lt;&gt;0),NA(),(INDEX($B$6:$M$21,($Q$3-1-1)*$Q$4+X64+1,0*$Q$5+W64+1)-0)/$Q$19*$Q$13)</f>
        <v>0.24599999999999997</v>
      </c>
      <c r="AD64" s="6">
        <f>2+$Q$20-(1+$Q$20+_xlfn.AGGREGATE(9,6,AC64:AC64))</f>
        <v>0.754</v>
      </c>
      <c r="AE64">
        <f>IF(OR(V64=1,U64&lt;&gt;0),NA(),(INDEX($B$6:$M$21,($Q$3-1-2)*$Q$4+X64+1,0*$Q$5+W64+1)-0)/$Q$19*$Q$13)</f>
        <v>0.50326133333333334</v>
      </c>
      <c r="AF64" s="6">
        <f>3+$Q$20-(2+$Q$20+_xlfn.AGGREGATE(9,6,AE64:AE64))</f>
        <v>0.49673866666666644</v>
      </c>
      <c r="AG64">
        <f>IF(OR(V64=1,U64&lt;&gt;0),NA(),(INDEX($B$6:$M$21,($Q$3-1-3)*$Q$4+X64+1,0*$Q$5+W64+1)-0)/$Q$19*$Q$13)</f>
        <v>0.66212266666666664</v>
      </c>
      <c r="AO64">
        <v>28.5</v>
      </c>
      <c r="AP64">
        <f>IF(OR($Q$17&gt;0,$Q$18&lt;0),NA(),3+$Q$20)</f>
        <v>3</v>
      </c>
    </row>
    <row r="65" spans="16:42" x14ac:dyDescent="0.35">
      <c r="P65">
        <v>42</v>
      </c>
      <c r="Q65">
        <f>P65-$Q$12</f>
        <v>39</v>
      </c>
      <c r="R65">
        <f>IF(Q65&lt;=0,-1,INT((Q65-1)/($Q$10+$Q$11)))</f>
        <v>2</v>
      </c>
      <c r="S65">
        <f>IF(Q65&lt;=0,-1,MOD(Q65-1,($Q$10+$Q$11)))</f>
        <v>12</v>
      </c>
      <c r="T65">
        <f>IF(OR(S65&lt;0,S65&gt;=$Q$10),-1,INT(S65/$Q$9))</f>
        <v>-1</v>
      </c>
      <c r="U65">
        <f>IF(OR(S65&lt;0,S65&gt;=$Q$10),-1,MOD(S65,$Q$9))</f>
        <v>-1</v>
      </c>
      <c r="V65">
        <f>IF(OR(Q65&lt;=0,S65&lt;0,S65&gt;=$Q$10,R65&gt;=$Q$7),1,0)</f>
        <v>1</v>
      </c>
      <c r="W65">
        <f>IF(V65=1,-1,T65)</f>
        <v>-1</v>
      </c>
      <c r="X65">
        <f>IF(V65=1,-1,R65)</f>
        <v>-1</v>
      </c>
      <c r="Y65" t="str">
        <f>IF(V65=1,"",IF(AND(MOD(W65,3)=0,U65=INT(($Q$9-1)/2)),INDEX($B$5:$M$5,W65+1),""))</f>
        <v/>
      </c>
      <c r="Z65" s="6">
        <f>0+$Q$20</f>
        <v>0</v>
      </c>
      <c r="AA65" t="e">
        <f>IF(OR(V65=1,U65&lt;&gt;0),NA(),(INDEX($B$6:$M$21,($Q$3-1-0)*$Q$4+X65+1,0*$Q$5+W65+1)-0)/$Q$19*$Q$13)</f>
        <v>#N/A</v>
      </c>
      <c r="AB65" s="6">
        <f>1+$Q$20-(0+$Q$20+_xlfn.AGGREGATE(9,6,AA65:AA65))</f>
        <v>1</v>
      </c>
      <c r="AC65" t="e">
        <f>IF(OR(V65=1,U65&lt;&gt;0),NA(),(INDEX($B$6:$M$21,($Q$3-1-1)*$Q$4+X65+1,0*$Q$5+W65+1)-0)/$Q$19*$Q$13)</f>
        <v>#N/A</v>
      </c>
      <c r="AD65" s="6">
        <f>2+$Q$20-(1+$Q$20+_xlfn.AGGREGATE(9,6,AC65:AC65))</f>
        <v>1</v>
      </c>
      <c r="AE65" t="e">
        <f>IF(OR(V65=1,U65&lt;&gt;0),NA(),(INDEX($B$6:$M$21,($Q$3-1-2)*$Q$4+X65+1,0*$Q$5+W65+1)-0)/$Q$19*$Q$13)</f>
        <v>#N/A</v>
      </c>
      <c r="AF65" s="6">
        <f>3+$Q$20-(2+$Q$20+_xlfn.AGGREGATE(9,6,AE65:AE65))</f>
        <v>1</v>
      </c>
      <c r="AG65" t="e">
        <f>IF(OR(V65=1,U65&lt;&gt;0),NA(),(INDEX($B$6:$M$21,($Q$3-1-3)*$Q$4+X65+1,0*$Q$5+W65+1)-0)/$Q$19*$Q$13)</f>
        <v>#N/A</v>
      </c>
      <c r="AO65">
        <v>28.5</v>
      </c>
      <c r="AP65" t="e">
        <f>NA()</f>
        <v>#N/A</v>
      </c>
    </row>
    <row r="66" spans="16:42" x14ac:dyDescent="0.35">
      <c r="P66">
        <v>43</v>
      </c>
      <c r="Q66">
        <f>P66-$Q$12</f>
        <v>40</v>
      </c>
      <c r="R66">
        <f>IF(Q66&lt;=0,-1,INT((Q66-1)/($Q$10+$Q$11)))</f>
        <v>3</v>
      </c>
      <c r="S66">
        <f>IF(Q66&lt;=0,-1,MOD(Q66-1,($Q$10+$Q$11)))</f>
        <v>0</v>
      </c>
      <c r="T66">
        <f>IF(OR(S66&lt;0,S66&gt;=$Q$10),-1,INT(S66/$Q$9))</f>
        <v>0</v>
      </c>
      <c r="U66">
        <f>IF(OR(S66&lt;0,S66&gt;=$Q$10),-1,MOD(S66,$Q$9))</f>
        <v>0</v>
      </c>
      <c r="V66">
        <f>IF(OR(Q66&lt;=0,S66&lt;0,S66&gt;=$Q$10,R66&gt;=$Q$7),1,0)</f>
        <v>0</v>
      </c>
      <c r="W66">
        <f>IF(V66=1,-1,T66)</f>
        <v>0</v>
      </c>
      <c r="X66">
        <f>IF(V66=1,-1,R66)</f>
        <v>3</v>
      </c>
      <c r="Y66" t="str">
        <f>IF(V66=1,"",IF(AND(MOD(W66,3)=0,U66=INT(($Q$9-1)/2)),INDEX($B$5:$M$5,W66+1),""))</f>
        <v>Jan</v>
      </c>
      <c r="Z66" s="6">
        <f>0+$Q$20</f>
        <v>0</v>
      </c>
      <c r="AA66">
        <f>IF(OR(V66=1,U66&lt;&gt;0),NA(),(INDEX($B$6:$M$21,($Q$3-1-0)*$Q$4+X66+1,0*$Q$5+W66+1)-0)/$Q$19*$Q$13)</f>
        <v>0.24599999999999997</v>
      </c>
      <c r="AB66" s="6">
        <f>1+$Q$20-(0+$Q$20+_xlfn.AGGREGATE(9,6,AA66:AA66))</f>
        <v>0.754</v>
      </c>
      <c r="AC66">
        <f>IF(OR(V66=1,U66&lt;&gt;0),NA(),(INDEX($B$6:$M$21,($Q$3-1-1)*$Q$4+X66+1,0*$Q$5+W66+1)-0)/$Q$19*$Q$13)</f>
        <v>0.46193333333333331</v>
      </c>
      <c r="AD66" s="6">
        <f>2+$Q$20-(1+$Q$20+_xlfn.AGGREGATE(9,6,AC66:AC66))</f>
        <v>0.53806666666666669</v>
      </c>
      <c r="AE66">
        <f>IF(OR(V66=1,U66&lt;&gt;0),NA(),(INDEX($B$6:$M$21,($Q$3-1-2)*$Q$4+X66+1,0*$Q$5+W66+1)-0)/$Q$19*$Q$13)</f>
        <v>0.24873333333333333</v>
      </c>
      <c r="AF66" s="6">
        <f>3+$Q$20-(2+$Q$20+_xlfn.AGGREGATE(9,6,AE66:AE66))</f>
        <v>0.75126666666666653</v>
      </c>
      <c r="AG66">
        <f>IF(OR(V66=1,U66&lt;&gt;0),NA(),(INDEX($B$6:$M$21,($Q$3-1-3)*$Q$4+X66+1,0*$Q$5+W66+1)-0)/$Q$19*$Q$13)</f>
        <v>0.36626666666666663</v>
      </c>
      <c r="AO66">
        <v>29.5</v>
      </c>
      <c r="AP66">
        <f>IF(OR($Q$17&gt;0,$Q$18&lt;0),NA(),3+$Q$20)</f>
        <v>3</v>
      </c>
    </row>
    <row r="67" spans="16:42" x14ac:dyDescent="0.35">
      <c r="P67">
        <v>44</v>
      </c>
      <c r="Q67">
        <f>P67-$Q$12</f>
        <v>41</v>
      </c>
      <c r="R67">
        <f>IF(Q67&lt;=0,-1,INT((Q67-1)/($Q$10+$Q$11)))</f>
        <v>3</v>
      </c>
      <c r="S67">
        <f>IF(Q67&lt;=0,-1,MOD(Q67-1,($Q$10+$Q$11)))</f>
        <v>1</v>
      </c>
      <c r="T67">
        <f>IF(OR(S67&lt;0,S67&gt;=$Q$10),-1,INT(S67/$Q$9))</f>
        <v>1</v>
      </c>
      <c r="U67">
        <f>IF(OR(S67&lt;0,S67&gt;=$Q$10),-1,MOD(S67,$Q$9))</f>
        <v>0</v>
      </c>
      <c r="V67">
        <f>IF(OR(Q67&lt;=0,S67&lt;0,S67&gt;=$Q$10,R67&gt;=$Q$7),1,0)</f>
        <v>0</v>
      </c>
      <c r="W67">
        <f>IF(V67=1,-1,T67)</f>
        <v>1</v>
      </c>
      <c r="X67">
        <f>IF(V67=1,-1,R67)</f>
        <v>3</v>
      </c>
      <c r="Y67" t="str">
        <f>IF(V67=1,"",IF(AND(MOD(W67,3)=0,U67=INT(($Q$9-1)/2)),INDEX($B$5:$M$5,W67+1),""))</f>
        <v/>
      </c>
      <c r="Z67" s="6">
        <f>0+$Q$20</f>
        <v>0</v>
      </c>
      <c r="AA67">
        <f>IF(OR(V67=1,U67&lt;&gt;0),NA(),(INDEX($B$6:$M$21,($Q$3-1-0)*$Q$4+X67+1,0*$Q$5+W67+1)-0)/$Q$19*$Q$13)</f>
        <v>0.28579733333333329</v>
      </c>
      <c r="AB67" s="6">
        <f>1+$Q$20-(0+$Q$20+_xlfn.AGGREGATE(9,6,AA67:AA67))</f>
        <v>0.71420266666666676</v>
      </c>
      <c r="AC67">
        <f>IF(OR(V67=1,U67&lt;&gt;0),NA(),(INDEX($B$6:$M$21,($Q$3-1-1)*$Q$4+X67+1,0*$Q$5+W67+1)-0)/$Q$19*$Q$13)</f>
        <v>0.40704799999999997</v>
      </c>
      <c r="AD67" s="6">
        <f>2+$Q$20-(1+$Q$20+_xlfn.AGGREGATE(9,6,AC67:AC67))</f>
        <v>0.59295199999999992</v>
      </c>
      <c r="AE67">
        <f>IF(OR(V67=1,U67&lt;&gt;0),NA(),(INDEX($B$6:$M$21,($Q$3-1-2)*$Q$4+X67+1,0*$Q$5+W67+1)-0)/$Q$19*$Q$13)</f>
        <v>0.28776533333333332</v>
      </c>
      <c r="AF67" s="6">
        <f>3+$Q$20-(2+$Q$20+_xlfn.AGGREGATE(9,6,AE67:AE67))</f>
        <v>0.71223466666666679</v>
      </c>
      <c r="AG67">
        <f>IF(OR(V67=1,U67&lt;&gt;0),NA(),(INDEX($B$6:$M$21,($Q$3-1-3)*$Q$4+X67+1,0*$Q$5+W67+1)-0)/$Q$19*$Q$13)</f>
        <v>0.40901599999999999</v>
      </c>
      <c r="AO67">
        <v>41.5</v>
      </c>
      <c r="AP67">
        <f>IF(OR($Q$17&gt;0,$Q$18&lt;0),NA(),3+$Q$20)</f>
        <v>3</v>
      </c>
    </row>
    <row r="68" spans="16:42" x14ac:dyDescent="0.35">
      <c r="P68">
        <v>45</v>
      </c>
      <c r="Q68">
        <f>P68-$Q$12</f>
        <v>42</v>
      </c>
      <c r="R68">
        <f>IF(Q68&lt;=0,-1,INT((Q68-1)/($Q$10+$Q$11)))</f>
        <v>3</v>
      </c>
      <c r="S68">
        <f>IF(Q68&lt;=0,-1,MOD(Q68-1,($Q$10+$Q$11)))</f>
        <v>2</v>
      </c>
      <c r="T68">
        <f>IF(OR(S68&lt;0,S68&gt;=$Q$10),-1,INT(S68/$Q$9))</f>
        <v>2</v>
      </c>
      <c r="U68">
        <f>IF(OR(S68&lt;0,S68&gt;=$Q$10),-1,MOD(S68,$Q$9))</f>
        <v>0</v>
      </c>
      <c r="V68">
        <f>IF(OR(Q68&lt;=0,S68&lt;0,S68&gt;=$Q$10,R68&gt;=$Q$7),1,0)</f>
        <v>0</v>
      </c>
      <c r="W68">
        <f>IF(V68=1,-1,T68)</f>
        <v>2</v>
      </c>
      <c r="X68">
        <f>IF(V68=1,-1,R68)</f>
        <v>3</v>
      </c>
      <c r="Y68" t="str">
        <f>IF(V68=1,"",IF(AND(MOD(W68,3)=0,U68=INT(($Q$9-1)/2)),INDEX($B$5:$M$5,W68+1),""))</f>
        <v/>
      </c>
      <c r="Z68" s="6">
        <f>0+$Q$20</f>
        <v>0</v>
      </c>
      <c r="AA68">
        <f>IF(OR(V68=1,U68&lt;&gt;0),NA(),(INDEX($B$6:$M$21,($Q$3-1-0)*$Q$4+X68+1,0*$Q$5+W68+1)-0)/$Q$19*$Q$13)</f>
        <v>0.32554</v>
      </c>
      <c r="AB68" s="6">
        <f>1+$Q$20-(0+$Q$20+_xlfn.AGGREGATE(9,6,AA68:AA68))</f>
        <v>0.67446000000000006</v>
      </c>
      <c r="AC68">
        <f>IF(OR(V68=1,U68&lt;&gt;0),NA(),(INDEX($B$6:$M$21,($Q$3-1-1)*$Q$4+X68+1,0*$Q$5+W68+1)-0)/$Q$19*$Q$13)</f>
        <v>0.45056266666666661</v>
      </c>
      <c r="AD68" s="6">
        <f>2+$Q$20-(1+$Q$20+_xlfn.AGGREGATE(9,6,AC68:AC68))</f>
        <v>0.54943733333333333</v>
      </c>
      <c r="AE68">
        <f>IF(OR(V68=1,U68&lt;&gt;0),NA(),(INDEX($B$6:$M$21,($Q$3-1-2)*$Q$4+X68+1,0*$Q$5+W68+1)-0)/$Q$19*$Q$13)</f>
        <v>0.22839733333333334</v>
      </c>
      <c r="AF68" s="6">
        <f>3+$Q$20-(2+$Q$20+_xlfn.AGGREGATE(9,6,AE68:AE68))</f>
        <v>0.77160266666666644</v>
      </c>
      <c r="AG68">
        <f>IF(OR(V68=1,U68&lt;&gt;0),NA(),(INDEX($B$6:$M$21,($Q$3-1-3)*$Q$4+X68+1,0*$Q$5+W68+1)-0)/$Q$19*$Q$13)</f>
        <v>0.45182</v>
      </c>
      <c r="AO68">
        <v>41.5</v>
      </c>
      <c r="AP68" t="e">
        <f>NA()</f>
        <v>#N/A</v>
      </c>
    </row>
    <row r="69" spans="16:42" x14ac:dyDescent="0.35">
      <c r="P69">
        <v>46</v>
      </c>
      <c r="Q69">
        <f>P69-$Q$12</f>
        <v>43</v>
      </c>
      <c r="R69">
        <f>IF(Q69&lt;=0,-1,INT((Q69-1)/($Q$10+$Q$11)))</f>
        <v>3</v>
      </c>
      <c r="S69">
        <f>IF(Q69&lt;=0,-1,MOD(Q69-1,($Q$10+$Q$11)))</f>
        <v>3</v>
      </c>
      <c r="T69">
        <f>IF(OR(S69&lt;0,S69&gt;=$Q$10),-1,INT(S69/$Q$9))</f>
        <v>3</v>
      </c>
      <c r="U69">
        <f>IF(OR(S69&lt;0,S69&gt;=$Q$10),-1,MOD(S69,$Q$9))</f>
        <v>0</v>
      </c>
      <c r="V69">
        <f>IF(OR(Q69&lt;=0,S69&lt;0,S69&gt;=$Q$10,R69&gt;=$Q$7),1,0)</f>
        <v>0</v>
      </c>
      <c r="W69">
        <f>IF(V69=1,-1,T69)</f>
        <v>3</v>
      </c>
      <c r="X69">
        <f>IF(V69=1,-1,R69)</f>
        <v>3</v>
      </c>
      <c r="Y69" t="str">
        <f>IF(V69=1,"",IF(AND(MOD(W69,3)=0,U69=INT(($Q$9-1)/2)),INDEX($B$5:$M$5,W69+1),""))</f>
        <v>Apr</v>
      </c>
      <c r="Z69" s="6">
        <f>0+$Q$20</f>
        <v>0</v>
      </c>
      <c r="AA69">
        <f>IF(OR(V69=1,U69&lt;&gt;0),NA(),(INDEX($B$6:$M$21,($Q$3-1-0)*$Q$4+X69+1,0*$Q$5+W69+1)-0)/$Q$19*$Q$13)</f>
        <v>0.26688266666666666</v>
      </c>
      <c r="AB69" s="6">
        <f>1+$Q$20-(0+$Q$20+_xlfn.AGGREGATE(9,6,AA69:AA69))</f>
        <v>0.7331173333333334</v>
      </c>
      <c r="AC69">
        <f>IF(OR(V69=1,U69&lt;&gt;0),NA(),(INDEX($B$6:$M$21,($Q$3-1-1)*$Q$4+X69+1,0*$Q$5+W69+1)-0)/$Q$19*$Q$13)</f>
        <v>0.49413200000000002</v>
      </c>
      <c r="AD69" s="6">
        <f>2+$Q$20-(1+$Q$20+_xlfn.AGGREGATE(9,6,AC69:AC69))</f>
        <v>0.50586799999999998</v>
      </c>
      <c r="AE69">
        <f>IF(OR(V69=1,U69&lt;&gt;0),NA(),(INDEX($B$6:$M$21,($Q$3-1-2)*$Q$4+X69+1,0*$Q$5+W69+1)-0)/$Q$19*$Q$13)</f>
        <v>0.26737466666666665</v>
      </c>
      <c r="AF69" s="6">
        <f>3+$Q$20-(2+$Q$20+_xlfn.AGGREGATE(9,6,AE69:AE69))</f>
        <v>0.73262533333333346</v>
      </c>
      <c r="AG69">
        <f>IF(OR(V69=1,U69&lt;&gt;0),NA(),(INDEX($B$6:$M$21,($Q$3-1-3)*$Q$4+X69+1,0*$Q$5+W69+1)-0)/$Q$19*$Q$13)</f>
        <v>0.39622399999999997</v>
      </c>
      <c r="AO69">
        <v>42.5</v>
      </c>
      <c r="AP69">
        <f>IF(OR($Q$17&gt;0,$Q$18&lt;0),NA(),3+$Q$20)</f>
        <v>3</v>
      </c>
    </row>
    <row r="70" spans="16:42" x14ac:dyDescent="0.35">
      <c r="P70">
        <v>47</v>
      </c>
      <c r="Q70">
        <f>P70-$Q$12</f>
        <v>44</v>
      </c>
      <c r="R70">
        <f>IF(Q70&lt;=0,-1,INT((Q70-1)/($Q$10+$Q$11)))</f>
        <v>3</v>
      </c>
      <c r="S70">
        <f>IF(Q70&lt;=0,-1,MOD(Q70-1,($Q$10+$Q$11)))</f>
        <v>4</v>
      </c>
      <c r="T70">
        <f>IF(OR(S70&lt;0,S70&gt;=$Q$10),-1,INT(S70/$Q$9))</f>
        <v>4</v>
      </c>
      <c r="U70">
        <f>IF(OR(S70&lt;0,S70&gt;=$Q$10),-1,MOD(S70,$Q$9))</f>
        <v>0</v>
      </c>
      <c r="V70">
        <f>IF(OR(Q70&lt;=0,S70&lt;0,S70&gt;=$Q$10,R70&gt;=$Q$7),1,0)</f>
        <v>0</v>
      </c>
      <c r="W70">
        <f>IF(V70=1,-1,T70)</f>
        <v>4</v>
      </c>
      <c r="X70">
        <f>IF(V70=1,-1,R70)</f>
        <v>3</v>
      </c>
      <c r="Y70" t="str">
        <f>IF(V70=1,"",IF(AND(MOD(W70,3)=0,U70=INT(($Q$9-1)/2)),INDEX($B$5:$M$5,W70+1),""))</f>
        <v/>
      </c>
      <c r="Z70" s="6">
        <f>0+$Q$20</f>
        <v>0</v>
      </c>
      <c r="AA70">
        <f>IF(OR(V70=1,U70&lt;&gt;0),NA(),(INDEX($B$6:$M$21,($Q$3-1-0)*$Q$4+X70+1,0*$Q$5+W70+1)-0)/$Q$19*$Q$13)</f>
        <v>0.30668000000000001</v>
      </c>
      <c r="AB70" s="6">
        <f>1+$Q$20-(0+$Q$20+_xlfn.AGGREGATE(9,6,AA70:AA70))</f>
        <v>0.69331999999999994</v>
      </c>
      <c r="AC70">
        <f>IF(OR(V70=1,U70&lt;&gt;0),NA(),(INDEX($B$6:$M$21,($Q$3-1-1)*$Q$4+X70+1,0*$Q$5+W70+1)-0)/$Q$19*$Q$13)</f>
        <v>0.43924666666666662</v>
      </c>
      <c r="AD70" s="6">
        <f>2+$Q$20-(1+$Q$20+_xlfn.AGGREGATE(9,6,AC70:AC70))</f>
        <v>0.56075333333333344</v>
      </c>
      <c r="AE70">
        <f>IF(OR(V70=1,U70&lt;&gt;0),NA(),(INDEX($B$6:$M$21,($Q$3-1-2)*$Q$4+X70+1,0*$Q$5+W70+1)-0)/$Q$19*$Q$13)</f>
        <v>0.30640666666666661</v>
      </c>
      <c r="AF70" s="6">
        <f>3+$Q$20-(2+$Q$20+_xlfn.AGGREGATE(9,6,AE70:AE70))</f>
        <v>0.69359333333333328</v>
      </c>
      <c r="AG70">
        <f>IF(OR(V70=1,U70&lt;&gt;0),NA(),(INDEX($B$6:$M$21,($Q$3-1-3)*$Q$4+X70+1,0*$Q$5+W70+1)-0)/$Q$19*$Q$13)</f>
        <v>0.43897333333333333</v>
      </c>
      <c r="AO70">
        <v>54.5</v>
      </c>
      <c r="AP70">
        <f>IF(OR($Q$17&gt;0,$Q$18&lt;0),NA(),3+$Q$20)</f>
        <v>3</v>
      </c>
    </row>
    <row r="71" spans="16:42" x14ac:dyDescent="0.35">
      <c r="P71">
        <v>48</v>
      </c>
      <c r="Q71">
        <f>P71-$Q$12</f>
        <v>45</v>
      </c>
      <c r="R71">
        <f>IF(Q71&lt;=0,-1,INT((Q71-1)/($Q$10+$Q$11)))</f>
        <v>3</v>
      </c>
      <c r="S71">
        <f>IF(Q71&lt;=0,-1,MOD(Q71-1,($Q$10+$Q$11)))</f>
        <v>5</v>
      </c>
      <c r="T71">
        <f>IF(OR(S71&lt;0,S71&gt;=$Q$10),-1,INT(S71/$Q$9))</f>
        <v>5</v>
      </c>
      <c r="U71">
        <f>IF(OR(S71&lt;0,S71&gt;=$Q$10),-1,MOD(S71,$Q$9))</f>
        <v>0</v>
      </c>
      <c r="V71">
        <f>IF(OR(Q71&lt;=0,S71&lt;0,S71&gt;=$Q$10,R71&gt;=$Q$7),1,0)</f>
        <v>0</v>
      </c>
      <c r="W71">
        <f>IF(V71=1,-1,T71)</f>
        <v>5</v>
      </c>
      <c r="X71">
        <f>IF(V71=1,-1,R71)</f>
        <v>3</v>
      </c>
      <c r="Y71" t="str">
        <f>IF(V71=1,"",IF(AND(MOD(W71,3)=0,U71=INT(($Q$9-1)/2)),INDEX($B$5:$M$5,W71+1),""))</f>
        <v/>
      </c>
      <c r="Z71" s="6">
        <f>0+$Q$20</f>
        <v>0</v>
      </c>
      <c r="AA71">
        <f>IF(OR(V71=1,U71&lt;&gt;0),NA(),(INDEX($B$6:$M$21,($Q$3-1-0)*$Q$4+X71+1,0*$Q$5+W71+1)-0)/$Q$19*$Q$13)</f>
        <v>0.3464773333333333</v>
      </c>
      <c r="AB71" s="6">
        <f>1+$Q$20-(0+$Q$20+_xlfn.AGGREGATE(9,6,AA71:AA71))</f>
        <v>0.6535226666666667</v>
      </c>
      <c r="AC71">
        <f>IF(OR(V71=1,U71&lt;&gt;0),NA(),(INDEX($B$6:$M$21,($Q$3-1-1)*$Q$4+X71+1,0*$Q$5+W71+1)-0)/$Q$19*$Q$13)</f>
        <v>0.48276133333333332</v>
      </c>
      <c r="AD71" s="6">
        <f>2+$Q$20-(1+$Q$20+_xlfn.AGGREGATE(9,6,AC71:AC71))</f>
        <v>0.51723866666666662</v>
      </c>
      <c r="AE71">
        <f>IF(OR(V71=1,U71&lt;&gt;0),NA(),(INDEX($B$6:$M$21,($Q$3-1-2)*$Q$4+X71+1,0*$Q$5+W71+1)-0)/$Q$19*$Q$13)</f>
        <v>0.24703866666666663</v>
      </c>
      <c r="AF71" s="6">
        <f>3+$Q$20-(2+$Q$20+_xlfn.AGGREGATE(9,6,AE71:AE71))</f>
        <v>0.75296133333333337</v>
      </c>
      <c r="AG71">
        <f>IF(OR(V71=1,U71&lt;&gt;0),NA(),(INDEX($B$6:$M$21,($Q$3-1-3)*$Q$4+X71+1,0*$Q$5+W71+1)-0)/$Q$19*$Q$13)</f>
        <v>0.48172266666666663</v>
      </c>
      <c r="AO71">
        <v>54.5</v>
      </c>
      <c r="AP71" t="e">
        <f>NA()</f>
        <v>#N/A</v>
      </c>
    </row>
    <row r="72" spans="16:42" x14ac:dyDescent="0.35">
      <c r="P72">
        <v>49</v>
      </c>
      <c r="Q72">
        <f>P72-$Q$12</f>
        <v>46</v>
      </c>
      <c r="R72">
        <f>IF(Q72&lt;=0,-1,INT((Q72-1)/($Q$10+$Q$11)))</f>
        <v>3</v>
      </c>
      <c r="S72">
        <f>IF(Q72&lt;=0,-1,MOD(Q72-1,($Q$10+$Q$11)))</f>
        <v>6</v>
      </c>
      <c r="T72">
        <f>IF(OR(S72&lt;0,S72&gt;=$Q$10),-1,INT(S72/$Q$9))</f>
        <v>6</v>
      </c>
      <c r="U72">
        <f>IF(OR(S72&lt;0,S72&gt;=$Q$10),-1,MOD(S72,$Q$9))</f>
        <v>0</v>
      </c>
      <c r="V72">
        <f>IF(OR(Q72&lt;=0,S72&lt;0,S72&gt;=$Q$10,R72&gt;=$Q$7),1,0)</f>
        <v>0</v>
      </c>
      <c r="W72">
        <f>IF(V72=1,-1,T72)</f>
        <v>6</v>
      </c>
      <c r="X72">
        <f>IF(V72=1,-1,R72)</f>
        <v>3</v>
      </c>
      <c r="Y72" t="str">
        <f>IF(V72=1,"",IF(AND(MOD(W72,3)=0,U72=INT(($Q$9-1)/2)),INDEX($B$5:$M$5,W72+1),""))</f>
        <v>Jul</v>
      </c>
      <c r="Z72" s="6">
        <f>0+$Q$20</f>
        <v>0</v>
      </c>
      <c r="AA72">
        <f>IF(OR(V72=1,U72&lt;&gt;0),NA(),(INDEX($B$6:$M$21,($Q$3-1-0)*$Q$4+X72+1,0*$Q$5+W72+1)-0)/$Q$19*$Q$13)</f>
        <v>0.28781999999999996</v>
      </c>
      <c r="AB72" s="6">
        <f>1+$Q$20-(0+$Q$20+_xlfn.AGGREGATE(9,6,AA72:AA72))</f>
        <v>0.71218000000000004</v>
      </c>
      <c r="AC72">
        <f>IF(OR(V72=1,U72&lt;&gt;0),NA(),(INDEX($B$6:$M$21,($Q$3-1-1)*$Q$4+X72+1,0*$Q$5+W72+1)-0)/$Q$19*$Q$13)</f>
        <v>0.52627599999999997</v>
      </c>
      <c r="AD72" s="6">
        <f>2+$Q$20-(1+$Q$20+_xlfn.AGGREGATE(9,6,AC72:AC72))</f>
        <v>0.47372400000000003</v>
      </c>
      <c r="AE72">
        <f>IF(OR(V72=1,U72&lt;&gt;0),NA(),(INDEX($B$6:$M$21,($Q$3-1-2)*$Q$4+X72+1,0*$Q$5+W72+1)-0)/$Q$19*$Q$13)</f>
        <v>0.28601600000000005</v>
      </c>
      <c r="AF72" s="6">
        <f>3+$Q$20-(2+$Q$20+_xlfn.AGGREGATE(9,6,AE72:AE72))</f>
        <v>0.71398399999999995</v>
      </c>
      <c r="AG72">
        <f>IF(OR(V72=1,U72&lt;&gt;0),NA(),(INDEX($B$6:$M$21,($Q$3-1-3)*$Q$4+X72+1,0*$Q$5+W72+1)-0)/$Q$19*$Q$13)</f>
        <v>0.42612666666666671</v>
      </c>
    </row>
    <row r="73" spans="16:42" x14ac:dyDescent="0.35">
      <c r="P73">
        <v>50</v>
      </c>
      <c r="Q73">
        <f>P73-$Q$12</f>
        <v>47</v>
      </c>
      <c r="R73">
        <f>IF(Q73&lt;=0,-1,INT((Q73-1)/($Q$10+$Q$11)))</f>
        <v>3</v>
      </c>
      <c r="S73">
        <f>IF(Q73&lt;=0,-1,MOD(Q73-1,($Q$10+$Q$11)))</f>
        <v>7</v>
      </c>
      <c r="T73">
        <f>IF(OR(S73&lt;0,S73&gt;=$Q$10),-1,INT(S73/$Q$9))</f>
        <v>7</v>
      </c>
      <c r="U73">
        <f>IF(OR(S73&lt;0,S73&gt;=$Q$10),-1,MOD(S73,$Q$9))</f>
        <v>0</v>
      </c>
      <c r="V73">
        <f>IF(OR(Q73&lt;=0,S73&lt;0,S73&gt;=$Q$10,R73&gt;=$Q$7),1,0)</f>
        <v>0</v>
      </c>
      <c r="W73">
        <f>IF(V73=1,-1,T73)</f>
        <v>7</v>
      </c>
      <c r="X73">
        <f>IF(V73=1,-1,R73)</f>
        <v>3</v>
      </c>
      <c r="Y73" t="str">
        <f>IF(V73=1,"",IF(AND(MOD(W73,3)=0,U73=INT(($Q$9-1)/2)),INDEX($B$5:$M$5,W73+1),""))</f>
        <v/>
      </c>
      <c r="Z73" s="6">
        <f>0+$Q$20</f>
        <v>0</v>
      </c>
      <c r="AA73">
        <f>IF(OR(V73=1,U73&lt;&gt;0),NA(),(INDEX($B$6:$M$21,($Q$3-1-0)*$Q$4+X73+1,0*$Q$5+W73+1)-0)/$Q$19*$Q$13)</f>
        <v>0.32756266666666667</v>
      </c>
      <c r="AB73" s="6">
        <f>1+$Q$20-(0+$Q$20+_xlfn.AGGREGATE(9,6,AA73:AA73))</f>
        <v>0.67243733333333333</v>
      </c>
      <c r="AC73">
        <f>IF(OR(V73=1,U73&lt;&gt;0),NA(),(INDEX($B$6:$M$21,($Q$3-1-1)*$Q$4+X73+1,0*$Q$5+W73+1)-0)/$Q$19*$Q$13)</f>
        <v>0.47144533333333327</v>
      </c>
      <c r="AD73" s="6">
        <f>2+$Q$20-(1+$Q$20+_xlfn.AGGREGATE(9,6,AC73:AC73))</f>
        <v>0.52855466666666673</v>
      </c>
      <c r="AE73">
        <f>IF(OR(V73=1,U73&lt;&gt;0),NA(),(INDEX($B$6:$M$21,($Q$3-1-2)*$Q$4+X73+1,0*$Q$5+W73+1)-0)/$Q$19*$Q$13)</f>
        <v>0.325048</v>
      </c>
      <c r="AF73" s="6">
        <f>3+$Q$20-(2+$Q$20+_xlfn.AGGREGATE(9,6,AE73:AE73))</f>
        <v>0.67495200000000022</v>
      </c>
      <c r="AG73">
        <f>IF(OR(V73=1,U73&lt;&gt;0),NA(),(INDEX($B$6:$M$21,($Q$3-1-3)*$Q$4+X73+1,0*$Q$5+W73+1)-0)/$Q$19*$Q$13)</f>
        <v>0.46893066666666661</v>
      </c>
    </row>
    <row r="74" spans="16:42" x14ac:dyDescent="0.35">
      <c r="P74">
        <v>51</v>
      </c>
      <c r="Q74">
        <f>P74-$Q$12</f>
        <v>48</v>
      </c>
      <c r="R74">
        <f>IF(Q74&lt;=0,-1,INT((Q74-1)/($Q$10+$Q$11)))</f>
        <v>3</v>
      </c>
      <c r="S74">
        <f>IF(Q74&lt;=0,-1,MOD(Q74-1,($Q$10+$Q$11)))</f>
        <v>8</v>
      </c>
      <c r="T74">
        <f>IF(OR(S74&lt;0,S74&gt;=$Q$10),-1,INT(S74/$Q$9))</f>
        <v>8</v>
      </c>
      <c r="U74">
        <f>IF(OR(S74&lt;0,S74&gt;=$Q$10),-1,MOD(S74,$Q$9))</f>
        <v>0</v>
      </c>
      <c r="V74">
        <f>IF(OR(Q74&lt;=0,S74&lt;0,S74&gt;=$Q$10,R74&gt;=$Q$7),1,0)</f>
        <v>0</v>
      </c>
      <c r="W74">
        <f>IF(V74=1,-1,T74)</f>
        <v>8</v>
      </c>
      <c r="X74">
        <f>IF(V74=1,-1,R74)</f>
        <v>3</v>
      </c>
      <c r="Y74" t="str">
        <f>IF(V74=1,"",IF(AND(MOD(W74,3)=0,U74=INT(($Q$9-1)/2)),INDEX($B$5:$M$5,W74+1),""))</f>
        <v/>
      </c>
      <c r="Z74" s="6">
        <f>0+$Q$20</f>
        <v>0</v>
      </c>
      <c r="AA74">
        <f>IF(OR(V74=1,U74&lt;&gt;0),NA(),(INDEX($B$6:$M$21,($Q$3-1-0)*$Q$4+X74+1,0*$Q$5+W74+1)-0)/$Q$19*$Q$13)</f>
        <v>0.36735999999999996</v>
      </c>
      <c r="AB74" s="6">
        <f>1+$Q$20-(0+$Q$20+_xlfn.AGGREGATE(9,6,AA74:AA74))</f>
        <v>0.63264000000000009</v>
      </c>
      <c r="AC74">
        <f>IF(OR(V74=1,U74&lt;&gt;0),NA(),(INDEX($B$6:$M$21,($Q$3-1-1)*$Q$4+X74+1,0*$Q$5+W74+1)-0)/$Q$19*$Q$13)</f>
        <v>0.51495999999999997</v>
      </c>
      <c r="AD74" s="6">
        <f>2+$Q$20-(1+$Q$20+_xlfn.AGGREGATE(9,6,AC74:AC74))</f>
        <v>0.48504000000000014</v>
      </c>
      <c r="AE74">
        <f>IF(OR(V74=1,U74&lt;&gt;0),NA(),(INDEX($B$6:$M$21,($Q$3-1-2)*$Q$4+X74+1,0*$Q$5+W74+1)-0)/$Q$19*$Q$13)</f>
        <v>0.26567999999999997</v>
      </c>
      <c r="AF74" s="6">
        <f>3+$Q$20-(2+$Q$20+_xlfn.AGGREGATE(9,6,AE74:AE74))</f>
        <v>0.73431999999999986</v>
      </c>
      <c r="AG74">
        <f>IF(OR(V74=1,U74&lt;&gt;0),NA(),(INDEX($B$6:$M$21,($Q$3-1-3)*$Q$4+X74+1,0*$Q$5+W74+1)-0)/$Q$19*$Q$13)</f>
        <v>0.51168000000000002</v>
      </c>
    </row>
    <row r="75" spans="16:42" x14ac:dyDescent="0.35">
      <c r="P75">
        <v>52</v>
      </c>
      <c r="Q75">
        <f>P75-$Q$12</f>
        <v>49</v>
      </c>
      <c r="R75">
        <f>IF(Q75&lt;=0,-1,INT((Q75-1)/($Q$10+$Q$11)))</f>
        <v>3</v>
      </c>
      <c r="S75">
        <f>IF(Q75&lt;=0,-1,MOD(Q75-1,($Q$10+$Q$11)))</f>
        <v>9</v>
      </c>
      <c r="T75">
        <f>IF(OR(S75&lt;0,S75&gt;=$Q$10),-1,INT(S75/$Q$9))</f>
        <v>9</v>
      </c>
      <c r="U75">
        <f>IF(OR(S75&lt;0,S75&gt;=$Q$10),-1,MOD(S75,$Q$9))</f>
        <v>0</v>
      </c>
      <c r="V75">
        <f>IF(OR(Q75&lt;=0,S75&lt;0,S75&gt;=$Q$10,R75&gt;=$Q$7),1,0)</f>
        <v>0</v>
      </c>
      <c r="W75">
        <f>IF(V75=1,-1,T75)</f>
        <v>9</v>
      </c>
      <c r="X75">
        <f>IF(V75=1,-1,R75)</f>
        <v>3</v>
      </c>
      <c r="Y75" t="str">
        <f>IF(V75=1,"",IF(AND(MOD(W75,3)=0,U75=INT(($Q$9-1)/2)),INDEX($B$5:$M$5,W75+1),""))</f>
        <v>Oct</v>
      </c>
      <c r="Z75" s="6">
        <f>0+$Q$20</f>
        <v>0</v>
      </c>
      <c r="AA75">
        <f>IF(OR(V75=1,U75&lt;&gt;0),NA(),(INDEX($B$6:$M$21,($Q$3-1-0)*$Q$4+X75+1,0*$Q$5+W75+1)-0)/$Q$19*$Q$13)</f>
        <v>0.30875733333333327</v>
      </c>
      <c r="AB75" s="6">
        <f>1+$Q$20-(0+$Q$20+_xlfn.AGGREGATE(9,6,AA75:AA75))</f>
        <v>0.69124266666666667</v>
      </c>
      <c r="AC75">
        <f>IF(OR(V75=1,U75&lt;&gt;0),NA(),(INDEX($B$6:$M$21,($Q$3-1-1)*$Q$4+X75+1,0*$Q$5+W75+1)-0)/$Q$19*$Q$13)</f>
        <v>0.55847466666666667</v>
      </c>
      <c r="AD75" s="6">
        <f>2+$Q$20-(1+$Q$20+_xlfn.AGGREGATE(9,6,AC75:AC75))</f>
        <v>0.44152533333333333</v>
      </c>
      <c r="AE75">
        <f>IF(OR(V75=1,U75&lt;&gt;0),NA(),(INDEX($B$6:$M$21,($Q$3-1-2)*$Q$4+X75+1,0*$Q$5+W75+1)-0)/$Q$19*$Q$13)</f>
        <v>0.30471199999999998</v>
      </c>
      <c r="AF75" s="6">
        <f>3+$Q$20-(2+$Q$20+_xlfn.AGGREGATE(9,6,AE75:AE75))</f>
        <v>0.69528800000000013</v>
      </c>
      <c r="AG75">
        <f>IF(OR(V75=1,U75&lt;&gt;0),NA(),(INDEX($B$6:$M$21,($Q$3-1-3)*$Q$4+X75+1,0*$Q$5+W75+1)-0)/$Q$19*$Q$13)</f>
        <v>0.45608399999999988</v>
      </c>
    </row>
    <row r="76" spans="16:42" x14ac:dyDescent="0.35">
      <c r="P76">
        <v>53</v>
      </c>
      <c r="Q76">
        <f>P76-$Q$12</f>
        <v>50</v>
      </c>
      <c r="R76">
        <f>IF(Q76&lt;=0,-1,INT((Q76-1)/($Q$10+$Q$11)))</f>
        <v>3</v>
      </c>
      <c r="S76">
        <f>IF(Q76&lt;=0,-1,MOD(Q76-1,($Q$10+$Q$11)))</f>
        <v>10</v>
      </c>
      <c r="T76">
        <f>IF(OR(S76&lt;0,S76&gt;=$Q$10),-1,INT(S76/$Q$9))</f>
        <v>10</v>
      </c>
      <c r="U76">
        <f>IF(OR(S76&lt;0,S76&gt;=$Q$10),-1,MOD(S76,$Q$9))</f>
        <v>0</v>
      </c>
      <c r="V76">
        <f>IF(OR(Q76&lt;=0,S76&lt;0,S76&gt;=$Q$10,R76&gt;=$Q$7),1,0)</f>
        <v>0</v>
      </c>
      <c r="W76">
        <f>IF(V76=1,-1,T76)</f>
        <v>10</v>
      </c>
      <c r="X76">
        <f>IF(V76=1,-1,R76)</f>
        <v>3</v>
      </c>
      <c r="Y76" t="str">
        <f>IF(V76=1,"",IF(AND(MOD(W76,3)=0,U76=INT(($Q$9-1)/2)),INDEX($B$5:$M$5,W76+1),""))</f>
        <v/>
      </c>
      <c r="Z76" s="6">
        <f>0+$Q$20</f>
        <v>0</v>
      </c>
      <c r="AA76">
        <f>IF(OR(V76=1,U76&lt;&gt;0),NA(),(INDEX($B$6:$M$21,($Q$3-1-0)*$Q$4+X76+1,0*$Q$5+W76+1)-0)/$Q$19*$Q$13)</f>
        <v>0.34849999999999998</v>
      </c>
      <c r="AB76" s="6">
        <f>1+$Q$20-(0+$Q$20+_xlfn.AGGREGATE(9,6,AA76:AA76))</f>
        <v>0.65149999999999997</v>
      </c>
      <c r="AC76">
        <f>IF(OR(V76=1,U76&lt;&gt;0),NA(),(INDEX($B$6:$M$21,($Q$3-1-1)*$Q$4+X76+1,0*$Q$5+W76+1)-0)/$Q$19*$Q$13)</f>
        <v>0.50358933333333333</v>
      </c>
      <c r="AD76" s="6">
        <f>2+$Q$20-(1+$Q$20+_xlfn.AGGREGATE(9,6,AC76:AC76))</f>
        <v>0.49641066666666678</v>
      </c>
      <c r="AE76">
        <f>IF(OR(V76=1,U76&lt;&gt;0),NA(),(INDEX($B$6:$M$21,($Q$3-1-2)*$Q$4+X76+1,0*$Q$5+W76+1)-0)/$Q$19*$Q$13)</f>
        <v>0.34374399999999994</v>
      </c>
      <c r="AF76" s="6">
        <f>3+$Q$20-(2+$Q$20+_xlfn.AGGREGATE(9,6,AE76:AE76))</f>
        <v>0.65625599999999995</v>
      </c>
      <c r="AG76">
        <f>IF(OR(V76=1,U76&lt;&gt;0),NA(),(INDEX($B$6:$M$21,($Q$3-1-3)*$Q$4+X76+1,0*$Q$5+W76+1)-0)/$Q$19*$Q$13)</f>
        <v>0.49883333333333324</v>
      </c>
    </row>
    <row r="77" spans="16:42" x14ac:dyDescent="0.35">
      <c r="P77">
        <v>54</v>
      </c>
      <c r="Q77">
        <f>P77-$Q$12</f>
        <v>51</v>
      </c>
      <c r="R77">
        <f>IF(Q77&lt;=0,-1,INT((Q77-1)/($Q$10+$Q$11)))</f>
        <v>3</v>
      </c>
      <c r="S77">
        <f>IF(Q77&lt;=0,-1,MOD(Q77-1,($Q$10+$Q$11)))</f>
        <v>11</v>
      </c>
      <c r="T77">
        <f>IF(OR(S77&lt;0,S77&gt;=$Q$10),-1,INT(S77/$Q$9))</f>
        <v>11</v>
      </c>
      <c r="U77">
        <f>IF(OR(S77&lt;0,S77&gt;=$Q$10),-1,MOD(S77,$Q$9))</f>
        <v>0</v>
      </c>
      <c r="V77">
        <f>IF(OR(Q77&lt;=0,S77&lt;0,S77&gt;=$Q$10,R77&gt;=$Q$7),1,0)</f>
        <v>0</v>
      </c>
      <c r="W77">
        <f>IF(V77=1,-1,T77)</f>
        <v>11</v>
      </c>
      <c r="X77">
        <f>IF(V77=1,-1,R77)</f>
        <v>3</v>
      </c>
      <c r="Y77" t="str">
        <f>IF(V77=1,"",IF(AND(MOD(W77,3)=0,U77=INT(($Q$9-1)/2)),INDEX($B$5:$M$5,W77+1),""))</f>
        <v/>
      </c>
      <c r="Z77" s="6">
        <f>0+$Q$20</f>
        <v>0</v>
      </c>
      <c r="AA77">
        <f>IF(OR(V77=1,U77&lt;&gt;0),NA(),(INDEX($B$6:$M$21,($Q$3-1-0)*$Q$4+X77+1,0*$Q$5+W77+1)-0)/$Q$19*$Q$13)</f>
        <v>0.38824266666666668</v>
      </c>
      <c r="AB77" s="6">
        <f>1+$Q$20-(0+$Q$20+_xlfn.AGGREGATE(9,6,AA77:AA77))</f>
        <v>0.61175733333333326</v>
      </c>
      <c r="AC77">
        <f>IF(OR(V77=1,U77&lt;&gt;0),NA(),(INDEX($B$6:$M$21,($Q$3-1-1)*$Q$4+X77+1,0*$Q$5+W77+1)-0)/$Q$19*$Q$13)</f>
        <v>0.54715866666666668</v>
      </c>
      <c r="AD77" s="6">
        <f>2+$Q$20-(1+$Q$20+_xlfn.AGGREGATE(9,6,AC77:AC77))</f>
        <v>0.45284133333333321</v>
      </c>
      <c r="AE77">
        <f>IF(OR(V77=1,U77&lt;&gt;0),NA(),(INDEX($B$6:$M$21,($Q$3-1-2)*$Q$4+X77+1,0*$Q$5+W77+1)-0)/$Q$19*$Q$13)</f>
        <v>0.28432133333333331</v>
      </c>
      <c r="AF77" s="6">
        <f>3+$Q$20-(2+$Q$20+_xlfn.AGGREGATE(9,6,AE77:AE77))</f>
        <v>0.7156786666666668</v>
      </c>
      <c r="AG77">
        <f>IF(OR(V77=1,U77&lt;&gt;0),NA(),(INDEX($B$6:$M$21,($Q$3-1-3)*$Q$4+X77+1,0*$Q$5+W77+1)-0)/$Q$19*$Q$13)</f>
        <v>0.54158266666666666</v>
      </c>
    </row>
  </sheetData>
  <mergeCells count="1">
    <mergeCell ref="B4:M4"/>
  </mergeCells>
  <printOptions horizontalCentered="1" verticalCentered="1"/>
  <pageMargins left="0.25" right="0.25" top="0.25" bottom="0.25" header="0.125" footer="0.125"/>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ABF79-E4B3-4BC6-A785-3E99DC6FCF9B}">
  <sheetPr>
    <pageSetUpPr fitToPage="1"/>
  </sheetPr>
  <dimension ref="A1:BB95"/>
  <sheetViews>
    <sheetView showGridLines="0" workbookViewId="0"/>
  </sheetViews>
  <sheetFormatPr defaultRowHeight="14.5" x14ac:dyDescent="0.35"/>
  <cols>
    <col min="1" max="1" width="18.6328125" customWidth="1"/>
    <col min="17" max="17" width="8.90625" bestFit="1" customWidth="1"/>
  </cols>
  <sheetData>
    <row r="1" spans="1:17" ht="17" x14ac:dyDescent="0.4">
      <c r="A1" s="2" t="s">
        <v>0</v>
      </c>
    </row>
    <row r="2" spans="1:17" x14ac:dyDescent="0.35">
      <c r="A2" s="3" t="s">
        <v>1</v>
      </c>
      <c r="P2" s="1" t="s">
        <v>36</v>
      </c>
    </row>
    <row r="3" spans="1:17" x14ac:dyDescent="0.35">
      <c r="P3" t="s">
        <v>37</v>
      </c>
      <c r="Q3">
        <v>3</v>
      </c>
    </row>
    <row r="4" spans="1:17" x14ac:dyDescent="0.35">
      <c r="B4" s="4" t="s">
        <v>3</v>
      </c>
      <c r="C4" s="4"/>
      <c r="D4" s="4"/>
      <c r="E4" s="4"/>
      <c r="F4" s="4"/>
      <c r="G4" s="4"/>
      <c r="H4" s="4"/>
      <c r="I4" s="4"/>
      <c r="J4" s="4"/>
      <c r="K4" s="4"/>
      <c r="L4" s="4"/>
      <c r="M4" s="4"/>
      <c r="P4" t="s">
        <v>38</v>
      </c>
      <c r="Q4">
        <v>5</v>
      </c>
    </row>
    <row r="5" spans="1:17" x14ac:dyDescent="0.35">
      <c r="A5" s="1" t="s">
        <v>2</v>
      </c>
      <c r="B5" s="1" t="s">
        <v>4</v>
      </c>
      <c r="C5" s="1" t="s">
        <v>5</v>
      </c>
      <c r="D5" s="1" t="s">
        <v>6</v>
      </c>
      <c r="E5" s="1" t="s">
        <v>7</v>
      </c>
      <c r="F5" s="1" t="s">
        <v>8</v>
      </c>
      <c r="G5" s="1" t="s">
        <v>9</v>
      </c>
      <c r="H5" s="1" t="s">
        <v>10</v>
      </c>
      <c r="I5" s="1" t="s">
        <v>11</v>
      </c>
      <c r="J5" s="1" t="s">
        <v>12</v>
      </c>
      <c r="K5" s="1" t="s">
        <v>13</v>
      </c>
      <c r="L5" s="1" t="s">
        <v>14</v>
      </c>
      <c r="M5" s="1" t="s">
        <v>15</v>
      </c>
      <c r="P5" t="s">
        <v>39</v>
      </c>
      <c r="Q5">
        <v>12</v>
      </c>
    </row>
    <row r="6" spans="1:17" x14ac:dyDescent="0.35">
      <c r="A6" t="s">
        <v>16</v>
      </c>
      <c r="B6" s="5">
        <v>725</v>
      </c>
      <c r="C6" s="5">
        <v>804.6</v>
      </c>
      <c r="D6" s="5">
        <v>884.2</v>
      </c>
      <c r="E6" s="5">
        <v>783.9</v>
      </c>
      <c r="F6" s="5">
        <v>863.5</v>
      </c>
      <c r="G6" s="5">
        <v>943.1</v>
      </c>
      <c r="H6" s="5">
        <v>842.7</v>
      </c>
      <c r="I6" s="5">
        <v>922.4</v>
      </c>
      <c r="J6" s="5">
        <v>1002</v>
      </c>
      <c r="K6" s="5">
        <v>901.6</v>
      </c>
      <c r="L6" s="5">
        <v>981.2</v>
      </c>
      <c r="M6" s="5">
        <v>1060.9000000000001</v>
      </c>
      <c r="P6" t="s">
        <v>40</v>
      </c>
      <c r="Q6">
        <v>1</v>
      </c>
    </row>
    <row r="7" spans="1:17" x14ac:dyDescent="0.35">
      <c r="A7" t="s">
        <v>17</v>
      </c>
      <c r="B7" s="5">
        <v>565</v>
      </c>
      <c r="C7" s="5">
        <v>639.1</v>
      </c>
      <c r="D7" s="5">
        <v>533.20000000000005</v>
      </c>
      <c r="E7" s="5">
        <v>607.4</v>
      </c>
      <c r="F7" s="5">
        <v>681.5</v>
      </c>
      <c r="G7" s="5">
        <v>575.6</v>
      </c>
      <c r="H7" s="5">
        <v>649.79999999999995</v>
      </c>
      <c r="I7" s="5">
        <v>723.9</v>
      </c>
      <c r="J7" s="5">
        <v>618</v>
      </c>
      <c r="K7" s="5">
        <v>692.1</v>
      </c>
      <c r="L7" s="5">
        <v>766.2</v>
      </c>
      <c r="M7" s="5">
        <v>660.4</v>
      </c>
      <c r="P7" t="s">
        <v>41</v>
      </c>
      <c r="Q7">
        <v>5</v>
      </c>
    </row>
    <row r="8" spans="1:17" x14ac:dyDescent="0.35">
      <c r="A8" t="s">
        <v>18</v>
      </c>
      <c r="B8" s="5">
        <v>1010</v>
      </c>
      <c r="C8" s="5">
        <v>913.7</v>
      </c>
      <c r="D8" s="5">
        <v>997.5</v>
      </c>
      <c r="E8" s="5">
        <v>1081.2</v>
      </c>
      <c r="F8" s="5">
        <v>985</v>
      </c>
      <c r="G8" s="5">
        <v>1068.8</v>
      </c>
      <c r="H8" s="5">
        <v>1152.5</v>
      </c>
      <c r="I8" s="5">
        <v>1056.2</v>
      </c>
      <c r="J8" s="5">
        <v>1140</v>
      </c>
      <c r="K8" s="5">
        <v>1223.8</v>
      </c>
      <c r="L8" s="5">
        <v>1127.5</v>
      </c>
      <c r="M8" s="5">
        <v>1211.2</v>
      </c>
      <c r="P8" t="s">
        <v>42</v>
      </c>
      <c r="Q8">
        <v>3</v>
      </c>
    </row>
    <row r="9" spans="1:17" x14ac:dyDescent="0.35">
      <c r="A9" t="s">
        <v>19</v>
      </c>
      <c r="B9" s="5">
        <v>670</v>
      </c>
      <c r="C9" s="5">
        <v>748.2</v>
      </c>
      <c r="D9" s="5">
        <v>826.5</v>
      </c>
      <c r="E9" s="5">
        <v>724.8</v>
      </c>
      <c r="F9" s="5">
        <v>803</v>
      </c>
      <c r="G9" s="5">
        <v>881.2</v>
      </c>
      <c r="H9" s="5">
        <v>779.5</v>
      </c>
      <c r="I9" s="5">
        <v>857.8</v>
      </c>
      <c r="J9" s="5">
        <v>936</v>
      </c>
      <c r="K9" s="5">
        <v>834.3</v>
      </c>
      <c r="L9" s="5">
        <v>912.5</v>
      </c>
      <c r="M9" s="5">
        <v>990.7</v>
      </c>
      <c r="P9" t="s">
        <v>43</v>
      </c>
      <c r="Q9">
        <v>1</v>
      </c>
    </row>
    <row r="10" spans="1:17" x14ac:dyDescent="0.35">
      <c r="A10" t="s">
        <v>20</v>
      </c>
      <c r="B10" s="5">
        <v>510</v>
      </c>
      <c r="C10" s="5">
        <v>582.79999999999995</v>
      </c>
      <c r="D10" s="5">
        <v>475.5</v>
      </c>
      <c r="E10" s="5">
        <v>548.20000000000005</v>
      </c>
      <c r="F10" s="5">
        <v>621</v>
      </c>
      <c r="G10" s="5">
        <v>513.79999999999995</v>
      </c>
      <c r="H10" s="5">
        <v>586.5</v>
      </c>
      <c r="I10" s="5">
        <v>659.2</v>
      </c>
      <c r="J10" s="5">
        <v>552</v>
      </c>
      <c r="K10" s="5">
        <v>624.79999999999995</v>
      </c>
      <c r="L10" s="5">
        <v>697.5</v>
      </c>
      <c r="M10" s="5">
        <v>590.20000000000005</v>
      </c>
      <c r="P10" t="s">
        <v>44</v>
      </c>
      <c r="Q10">
        <v>12</v>
      </c>
    </row>
    <row r="11" spans="1:17" x14ac:dyDescent="0.35">
      <c r="A11" t="s">
        <v>21</v>
      </c>
      <c r="B11" s="5">
        <v>955</v>
      </c>
      <c r="C11" s="5">
        <v>857.4</v>
      </c>
      <c r="D11" s="5">
        <v>939.8</v>
      </c>
      <c r="E11" s="5">
        <v>1022.1</v>
      </c>
      <c r="F11" s="5">
        <v>924.5</v>
      </c>
      <c r="G11" s="5">
        <v>1006.9</v>
      </c>
      <c r="H11" s="5">
        <v>1089.2</v>
      </c>
      <c r="I11" s="5">
        <v>991.6</v>
      </c>
      <c r="J11" s="5">
        <v>1074</v>
      </c>
      <c r="K11" s="5">
        <v>1156.4000000000001</v>
      </c>
      <c r="L11" s="5">
        <v>1058.8</v>
      </c>
      <c r="M11" s="5">
        <v>1141.0999999999999</v>
      </c>
      <c r="P11" t="s">
        <v>45</v>
      </c>
      <c r="Q11">
        <v>2</v>
      </c>
    </row>
    <row r="12" spans="1:17" x14ac:dyDescent="0.35">
      <c r="A12" t="s">
        <v>22</v>
      </c>
      <c r="B12" s="5">
        <v>615</v>
      </c>
      <c r="C12" s="5">
        <v>691.9</v>
      </c>
      <c r="D12" s="5">
        <v>768.8</v>
      </c>
      <c r="E12" s="5">
        <v>665.6</v>
      </c>
      <c r="F12" s="5">
        <v>742.5</v>
      </c>
      <c r="G12" s="5">
        <v>819.4</v>
      </c>
      <c r="H12" s="5">
        <v>716.2</v>
      </c>
      <c r="I12" s="5">
        <v>793.1</v>
      </c>
      <c r="J12" s="5">
        <v>870</v>
      </c>
      <c r="K12" s="5">
        <v>766.9</v>
      </c>
      <c r="L12" s="5">
        <v>843.8</v>
      </c>
      <c r="M12" s="5">
        <v>920.6</v>
      </c>
      <c r="P12" t="s">
        <v>46</v>
      </c>
      <c r="Q12">
        <v>4</v>
      </c>
    </row>
    <row r="13" spans="1:17" x14ac:dyDescent="0.35">
      <c r="A13" t="s">
        <v>23</v>
      </c>
      <c r="B13" s="5">
        <v>455</v>
      </c>
      <c r="C13" s="5">
        <v>526.4</v>
      </c>
      <c r="D13" s="5">
        <v>417.8</v>
      </c>
      <c r="E13" s="5">
        <v>489.1</v>
      </c>
      <c r="F13" s="5">
        <v>560.5</v>
      </c>
      <c r="G13" s="5">
        <v>451.9</v>
      </c>
      <c r="H13" s="5">
        <v>523.20000000000005</v>
      </c>
      <c r="I13" s="5">
        <v>594.6</v>
      </c>
      <c r="J13" s="5">
        <v>486</v>
      </c>
      <c r="K13" s="5">
        <v>557.4</v>
      </c>
      <c r="L13" s="5">
        <v>628.79999999999995</v>
      </c>
      <c r="M13" s="5">
        <v>520.1</v>
      </c>
      <c r="P13" t="s">
        <v>47</v>
      </c>
      <c r="Q13">
        <v>0.82</v>
      </c>
    </row>
    <row r="14" spans="1:17" x14ac:dyDescent="0.35">
      <c r="A14" t="s">
        <v>24</v>
      </c>
      <c r="B14" s="5">
        <v>900</v>
      </c>
      <c r="C14" s="5">
        <v>801</v>
      </c>
      <c r="D14" s="5">
        <v>882</v>
      </c>
      <c r="E14" s="5">
        <v>963</v>
      </c>
      <c r="F14" s="5">
        <v>864</v>
      </c>
      <c r="G14" s="5">
        <v>945</v>
      </c>
      <c r="H14" s="5">
        <v>1026</v>
      </c>
      <c r="I14" s="5">
        <v>927</v>
      </c>
      <c r="J14" s="5">
        <v>1008</v>
      </c>
      <c r="K14" s="5">
        <v>1089</v>
      </c>
      <c r="L14" s="5">
        <v>990</v>
      </c>
      <c r="M14" s="5">
        <v>1071</v>
      </c>
      <c r="P14" t="s">
        <v>48</v>
      </c>
      <c r="Q14" s="6">
        <f>MIN(0,MIN($B$6:$M$20))</f>
        <v>0</v>
      </c>
    </row>
    <row r="15" spans="1:17" x14ac:dyDescent="0.35">
      <c r="A15" t="s">
        <v>25</v>
      </c>
      <c r="B15" s="5">
        <v>560</v>
      </c>
      <c r="C15" s="5">
        <v>635.5</v>
      </c>
      <c r="D15" s="5">
        <v>711</v>
      </c>
      <c r="E15" s="5">
        <v>606.5</v>
      </c>
      <c r="F15" s="5">
        <v>682</v>
      </c>
      <c r="G15" s="5">
        <v>757.5</v>
      </c>
      <c r="H15" s="5">
        <v>653</v>
      </c>
      <c r="I15" s="5">
        <v>728.5</v>
      </c>
      <c r="J15" s="5">
        <v>804</v>
      </c>
      <c r="K15" s="5">
        <v>699.5</v>
      </c>
      <c r="L15" s="5">
        <v>775</v>
      </c>
      <c r="M15" s="5">
        <v>850.5</v>
      </c>
      <c r="P15" t="s">
        <v>49</v>
      </c>
      <c r="Q15" s="6">
        <f>MAX($B$23:$M$37)</f>
        <v>1247.5</v>
      </c>
    </row>
    <row r="16" spans="1:17" x14ac:dyDescent="0.35">
      <c r="A16" t="s">
        <v>26</v>
      </c>
      <c r="B16" s="5">
        <v>400</v>
      </c>
      <c r="C16" s="5">
        <v>470</v>
      </c>
      <c r="D16" s="5">
        <v>360</v>
      </c>
      <c r="E16" s="5">
        <v>430</v>
      </c>
      <c r="F16" s="5">
        <v>500</v>
      </c>
      <c r="G16" s="5">
        <v>390</v>
      </c>
      <c r="H16" s="5">
        <v>460</v>
      </c>
      <c r="I16" s="5">
        <v>530</v>
      </c>
      <c r="J16" s="5">
        <v>420</v>
      </c>
      <c r="K16" s="5">
        <v>490</v>
      </c>
      <c r="L16" s="5">
        <v>560</v>
      </c>
      <c r="M16" s="5">
        <v>450</v>
      </c>
      <c r="P16" t="s">
        <v>50</v>
      </c>
      <c r="Q16" s="6">
        <f>10^INT(LOG10(MAX(0.000000001,$Q$15-$Q$14)))/2</f>
        <v>500</v>
      </c>
    </row>
    <row r="17" spans="1:54" x14ac:dyDescent="0.35">
      <c r="A17" t="s">
        <v>27</v>
      </c>
      <c r="B17" s="5">
        <v>845</v>
      </c>
      <c r="C17" s="5">
        <v>744.6</v>
      </c>
      <c r="D17" s="5">
        <v>824.2</v>
      </c>
      <c r="E17" s="5">
        <v>903.9</v>
      </c>
      <c r="F17" s="5">
        <v>803.5</v>
      </c>
      <c r="G17" s="5">
        <v>883.1</v>
      </c>
      <c r="H17" s="5">
        <v>962.7</v>
      </c>
      <c r="I17" s="5">
        <v>862.4</v>
      </c>
      <c r="J17" s="5">
        <v>942</v>
      </c>
      <c r="K17" s="5">
        <v>1021.6</v>
      </c>
      <c r="L17" s="5">
        <v>921.2</v>
      </c>
      <c r="M17" s="5">
        <v>1000.9</v>
      </c>
      <c r="P17" t="s">
        <v>51</v>
      </c>
      <c r="Q17" s="6">
        <f>FLOOR($Q$14,$Q$16)</f>
        <v>0</v>
      </c>
    </row>
    <row r="18" spans="1:54" x14ac:dyDescent="0.35">
      <c r="A18" t="s">
        <v>28</v>
      </c>
      <c r="B18" s="5">
        <v>505</v>
      </c>
      <c r="C18" s="5">
        <v>579.1</v>
      </c>
      <c r="D18" s="5">
        <v>653.20000000000005</v>
      </c>
      <c r="E18" s="5">
        <v>547.4</v>
      </c>
      <c r="F18" s="5">
        <v>621.5</v>
      </c>
      <c r="G18" s="5">
        <v>695.6</v>
      </c>
      <c r="H18" s="5">
        <v>589.79999999999995</v>
      </c>
      <c r="I18" s="5">
        <v>663.9</v>
      </c>
      <c r="J18" s="5">
        <v>738</v>
      </c>
      <c r="K18" s="5">
        <v>632.1</v>
      </c>
      <c r="L18" s="5">
        <v>706.2</v>
      </c>
      <c r="M18" s="5">
        <v>780.4</v>
      </c>
      <c r="P18" t="s">
        <v>52</v>
      </c>
      <c r="Q18" s="6">
        <f>CEILING($Q$15,$Q$16)</f>
        <v>1500</v>
      </c>
    </row>
    <row r="19" spans="1:54" x14ac:dyDescent="0.35">
      <c r="A19" t="s">
        <v>29</v>
      </c>
      <c r="B19" s="5">
        <v>950</v>
      </c>
      <c r="C19" s="5">
        <v>1033.8</v>
      </c>
      <c r="D19" s="5">
        <v>937.5</v>
      </c>
      <c r="E19" s="5">
        <v>1021.2</v>
      </c>
      <c r="F19" s="5">
        <v>1105</v>
      </c>
      <c r="G19" s="5">
        <v>1008.8</v>
      </c>
      <c r="H19" s="5">
        <v>1092.5</v>
      </c>
      <c r="I19" s="5">
        <v>1176.2</v>
      </c>
      <c r="J19" s="5">
        <v>1080</v>
      </c>
      <c r="K19" s="5">
        <v>1163.8</v>
      </c>
      <c r="L19" s="5">
        <v>1247.5</v>
      </c>
      <c r="M19" s="5">
        <v>1151.2</v>
      </c>
      <c r="P19" t="s">
        <v>53</v>
      </c>
      <c r="Q19" s="6">
        <f>MAX(0.000000001,$Q$18-$Q$17)</f>
        <v>1500</v>
      </c>
    </row>
    <row r="20" spans="1:54" x14ac:dyDescent="0.35">
      <c r="A20" t="s">
        <v>30</v>
      </c>
      <c r="B20" s="5">
        <v>790</v>
      </c>
      <c r="C20" s="5">
        <v>688.2</v>
      </c>
      <c r="D20" s="5">
        <v>766.5</v>
      </c>
      <c r="E20" s="5">
        <v>844.8</v>
      </c>
      <c r="F20" s="5">
        <v>743</v>
      </c>
      <c r="G20" s="5">
        <v>821.2</v>
      </c>
      <c r="H20" s="5">
        <v>899.5</v>
      </c>
      <c r="I20" s="5">
        <v>797.8</v>
      </c>
      <c r="J20" s="5">
        <v>876</v>
      </c>
      <c r="K20" s="5">
        <v>954.3</v>
      </c>
      <c r="L20" s="5">
        <v>852.5</v>
      </c>
      <c r="M20" s="5">
        <v>930.7</v>
      </c>
      <c r="P20" t="s">
        <v>54</v>
      </c>
      <c r="Q20" s="6">
        <f>(0-$Q$17)/$Q$19*$Q$13</f>
        <v>0</v>
      </c>
    </row>
    <row r="22" spans="1:54" x14ac:dyDescent="0.35">
      <c r="A22" s="1" t="s">
        <v>79</v>
      </c>
      <c r="B22" s="1" t="s">
        <v>80</v>
      </c>
    </row>
    <row r="23" spans="1:54" x14ac:dyDescent="0.35">
      <c r="B23" s="5">
        <f>$B$6</f>
        <v>725</v>
      </c>
      <c r="C23" s="5">
        <f>$C$6</f>
        <v>804.6</v>
      </c>
      <c r="D23" s="5">
        <f>$D$6</f>
        <v>884.2</v>
      </c>
      <c r="E23" s="5">
        <f>$E$6</f>
        <v>783.9</v>
      </c>
      <c r="F23" s="5">
        <f>$F$6</f>
        <v>863.5</v>
      </c>
      <c r="G23" s="5">
        <f>$G$6</f>
        <v>943.1</v>
      </c>
      <c r="H23" s="5">
        <f>$H$6</f>
        <v>842.7</v>
      </c>
      <c r="I23" s="5">
        <f>$I$6</f>
        <v>922.4</v>
      </c>
      <c r="J23" s="5">
        <f>$J$6</f>
        <v>1002</v>
      </c>
      <c r="K23" s="5">
        <f>$K$6</f>
        <v>901.6</v>
      </c>
      <c r="L23" s="5">
        <f>$L$6</f>
        <v>981.2</v>
      </c>
      <c r="M23" s="5">
        <f>$M$6</f>
        <v>1060.9000000000001</v>
      </c>
      <c r="P23" s="1" t="s">
        <v>55</v>
      </c>
      <c r="Q23" s="1" t="s">
        <v>56</v>
      </c>
      <c r="R23" s="1" t="s">
        <v>57</v>
      </c>
      <c r="S23" s="1" t="s">
        <v>58</v>
      </c>
      <c r="T23" s="1" t="s">
        <v>59</v>
      </c>
      <c r="U23" s="1" t="s">
        <v>60</v>
      </c>
      <c r="V23" s="1" t="s">
        <v>61</v>
      </c>
      <c r="W23" s="1" t="s">
        <v>62</v>
      </c>
      <c r="X23" s="1" t="s">
        <v>63</v>
      </c>
      <c r="Y23" s="1" t="s">
        <v>64</v>
      </c>
      <c r="Z23" s="1" t="s">
        <v>75</v>
      </c>
      <c r="AA23" s="1" t="s">
        <v>65</v>
      </c>
      <c r="AB23" s="1" t="s">
        <v>76</v>
      </c>
      <c r="AC23" s="1" t="s">
        <v>66</v>
      </c>
      <c r="AD23" s="1" t="s">
        <v>77</v>
      </c>
      <c r="AE23" s="1" t="s">
        <v>67</v>
      </c>
      <c r="AF23" s="1" t="s">
        <v>81</v>
      </c>
      <c r="AG23" s="1"/>
      <c r="AH23" s="1" t="s">
        <v>70</v>
      </c>
      <c r="AI23" s="1"/>
      <c r="AJ23" s="1"/>
      <c r="AK23" s="1" t="s">
        <v>71</v>
      </c>
      <c r="AL23" s="1"/>
      <c r="AM23" s="1"/>
      <c r="AN23" s="1" t="s">
        <v>72</v>
      </c>
      <c r="AO23" s="1"/>
      <c r="AP23" s="1"/>
      <c r="AQ23" s="1" t="s">
        <v>73</v>
      </c>
      <c r="AR23" s="1"/>
      <c r="AS23" s="1"/>
      <c r="AT23" s="1"/>
      <c r="AU23" s="1" t="s">
        <v>74</v>
      </c>
      <c r="AV23" s="1"/>
      <c r="AW23" s="1"/>
      <c r="AX23" s="1"/>
      <c r="AY23" s="1"/>
      <c r="AZ23" s="1"/>
      <c r="BA23" s="1"/>
      <c r="BB23" s="1"/>
    </row>
    <row r="24" spans="1:54" x14ac:dyDescent="0.35">
      <c r="B24" s="5">
        <f>$B$7</f>
        <v>565</v>
      </c>
      <c r="C24" s="5">
        <f>$C$7</f>
        <v>639.1</v>
      </c>
      <c r="D24" s="5">
        <f>$D$7</f>
        <v>533.20000000000005</v>
      </c>
      <c r="E24" s="5">
        <f>$E$7</f>
        <v>607.4</v>
      </c>
      <c r="F24" s="5">
        <f>$F$7</f>
        <v>681.5</v>
      </c>
      <c r="G24" s="5">
        <f>$G$7</f>
        <v>575.6</v>
      </c>
      <c r="H24" s="5">
        <f>$H$7</f>
        <v>649.79999999999995</v>
      </c>
      <c r="I24" s="5">
        <f>$I$7</f>
        <v>723.9</v>
      </c>
      <c r="J24" s="5">
        <f>$J$7</f>
        <v>618</v>
      </c>
      <c r="K24" s="5">
        <f>$K$7</f>
        <v>692.1</v>
      </c>
      <c r="L24" s="5">
        <f>$L$7</f>
        <v>766.2</v>
      </c>
      <c r="M24" s="5">
        <f>$M$7</f>
        <v>660.4</v>
      </c>
      <c r="P24">
        <v>1</v>
      </c>
      <c r="Q24">
        <f>P24-$Q$12</f>
        <v>-3</v>
      </c>
      <c r="R24">
        <f>IF(Q24&lt;=0,-1,INT((Q24-1)/($Q$10+$Q$11)))</f>
        <v>-1</v>
      </c>
      <c r="S24">
        <f>IF(Q24&lt;=0,-1,MOD(Q24-1,($Q$10+$Q$11)))</f>
        <v>-1</v>
      </c>
      <c r="T24">
        <f>IF(OR(S24&lt;0,S24&gt;=$Q$10),-1,INT(S24/$Q$9))</f>
        <v>-1</v>
      </c>
      <c r="U24">
        <f>IF(OR(S24&lt;0,S24&gt;=$Q$10),-1,MOD(S24,$Q$9))</f>
        <v>-1</v>
      </c>
      <c r="V24">
        <f>IF(OR(Q24&lt;=0,S24&lt;0,S24&gt;=$Q$10,R24&gt;=$Q$7),1,0)</f>
        <v>1</v>
      </c>
      <c r="W24">
        <f>IF(Q24&lt;=0,0,IF(S24&lt;$Q$10,T24,IF(S24=$Q$10,$Q$5-1,0)))</f>
        <v>0</v>
      </c>
      <c r="X24">
        <f>IF(Q24&lt;=0,0,IF(S24&lt;=$Q$10,R24,R24+1))</f>
        <v>0</v>
      </c>
      <c r="Y24" t="str">
        <f>IF(V24=1,"",IF(AND(MOD(W24,3)=0,U24=INT(($Q$9-1)/2)),INDEX($B$5:$M$5,W24+1),""))</f>
        <v/>
      </c>
      <c r="Z24" s="6">
        <f>0+$Q$20</f>
        <v>0</v>
      </c>
      <c r="AA24">
        <f>IF(OR(X24&lt;0),NA(),(INDEX($B$6:$M$20,($Q$3-1-0)*$Q$4+X24+1,0*$Q$5+W24+1)-0)/$Q$19*$Q$13)</f>
        <v>0.21866666666666665</v>
      </c>
      <c r="AB24" s="6">
        <f>1+$Q$20-(0+$Q$20+_xlfn.AGGREGATE(9,6,AA24:AA24))</f>
        <v>0.78133333333333332</v>
      </c>
      <c r="AC24">
        <f>IF(OR(X24&lt;0),NA(),(INDEX($B$6:$M$20,($Q$3-1-1)*$Q$4+X24+1,0*$Q$5+W24+1)-0)/$Q$19*$Q$13)</f>
        <v>0.52206666666666668</v>
      </c>
      <c r="AD24" s="6">
        <f>2+$Q$20-(1+$Q$20+_xlfn.AGGREGATE(9,6,AC24:AC24))</f>
        <v>0.47793333333333332</v>
      </c>
      <c r="AE24">
        <f>IF(OR(X24&lt;0),NA(),(INDEX($B$6:$M$20,($Q$3-1-2)*$Q$4+X24+1,0*$Q$5+W24+1)-0)/$Q$19*$Q$13)</f>
        <v>0.39633333333333332</v>
      </c>
      <c r="AF24">
        <f>IF(OR(Q24&lt;=0,S24&gt;=$Q$10),3,NA())</f>
        <v>3</v>
      </c>
      <c r="AH24">
        <v>17.5</v>
      </c>
      <c r="AI24">
        <v>0</v>
      </c>
      <c r="AK24">
        <v>0.5</v>
      </c>
      <c r="AL24">
        <v>0.90999999999999992</v>
      </c>
      <c r="AN24">
        <v>4.5</v>
      </c>
      <c r="AO24">
        <f>IF(OR($Q$17&gt;0,$Q$18&lt;0),NA(),0+$Q$20)</f>
        <v>0</v>
      </c>
      <c r="AQ24">
        <v>5</v>
      </c>
      <c r="AR24">
        <f>2+$Q$13+0.03</f>
        <v>2.8499999999999996</v>
      </c>
      <c r="AS24" t="str">
        <f>Area!$A$6</f>
        <v>Business partner 01</v>
      </c>
      <c r="AU24">
        <v>4.3499999999999996</v>
      </c>
      <c r="AV24">
        <f>0+0*$Q$13</f>
        <v>0</v>
      </c>
      <c r="AW24" t="str">
        <f>TEXT($Q$17+($Q$18-$Q$17)*0,"#,##0")</f>
        <v>0</v>
      </c>
    </row>
    <row r="25" spans="1:54" x14ac:dyDescent="0.35">
      <c r="B25" s="5">
        <f>$B$8</f>
        <v>1010</v>
      </c>
      <c r="C25" s="5">
        <f>$C$8</f>
        <v>913.7</v>
      </c>
      <c r="D25" s="5">
        <f>$D$8</f>
        <v>997.5</v>
      </c>
      <c r="E25" s="5">
        <f>$E$8</f>
        <v>1081.2</v>
      </c>
      <c r="F25" s="5">
        <f>$F$8</f>
        <v>985</v>
      </c>
      <c r="G25" s="5">
        <f>$G$8</f>
        <v>1068.8</v>
      </c>
      <c r="H25" s="5">
        <f>$H$8</f>
        <v>1152.5</v>
      </c>
      <c r="I25" s="5">
        <f>$I$8</f>
        <v>1056.2</v>
      </c>
      <c r="J25" s="5">
        <f>$J$8</f>
        <v>1140</v>
      </c>
      <c r="K25" s="5">
        <f>$K$8</f>
        <v>1223.8</v>
      </c>
      <c r="L25" s="5">
        <f>$L$8</f>
        <v>1127.5</v>
      </c>
      <c r="M25" s="5">
        <f>$M$8</f>
        <v>1211.2</v>
      </c>
      <c r="P25">
        <v>2</v>
      </c>
      <c r="Q25">
        <f>P25-$Q$12</f>
        <v>-2</v>
      </c>
      <c r="R25">
        <f>IF(Q25&lt;=0,-1,INT((Q25-1)/($Q$10+$Q$11)))</f>
        <v>-1</v>
      </c>
      <c r="S25">
        <f>IF(Q25&lt;=0,-1,MOD(Q25-1,($Q$10+$Q$11)))</f>
        <v>-1</v>
      </c>
      <c r="T25">
        <f>IF(OR(S25&lt;0,S25&gt;=$Q$10),-1,INT(S25/$Q$9))</f>
        <v>-1</v>
      </c>
      <c r="U25">
        <f>IF(OR(S25&lt;0,S25&gt;=$Q$10),-1,MOD(S25,$Q$9))</f>
        <v>-1</v>
      </c>
      <c r="V25">
        <f>IF(OR(Q25&lt;=0,S25&lt;0,S25&gt;=$Q$10,R25&gt;=$Q$7),1,0)</f>
        <v>1</v>
      </c>
      <c r="W25">
        <f>IF(Q25&lt;=0,0,IF(S25&lt;$Q$10,T25,IF(S25=$Q$10,$Q$5-1,0)))</f>
        <v>0</v>
      </c>
      <c r="X25">
        <f>IF(Q25&lt;=0,0,IF(S25&lt;=$Q$10,R25,R25+1))</f>
        <v>0</v>
      </c>
      <c r="Y25" t="str">
        <f>IF(V25=1,"",IF(AND(MOD(W25,3)=0,U25=INT(($Q$9-1)/2)),INDEX($B$5:$M$5,W25+1),""))</f>
        <v/>
      </c>
      <c r="Z25" s="6">
        <f>0+$Q$20</f>
        <v>0</v>
      </c>
      <c r="AA25">
        <f>IF(OR(X25&lt;0),NA(),(INDEX($B$6:$M$20,($Q$3-1-0)*$Q$4+X25+1,0*$Q$5+W25+1)-0)/$Q$19*$Q$13)</f>
        <v>0.21866666666666665</v>
      </c>
      <c r="AB25" s="6">
        <f>1+$Q$20-(0+$Q$20+_xlfn.AGGREGATE(9,6,AA25:AA25))</f>
        <v>0.78133333333333332</v>
      </c>
      <c r="AC25">
        <f>IF(OR(X25&lt;0),NA(),(INDEX($B$6:$M$20,($Q$3-1-1)*$Q$4+X25+1,0*$Q$5+W25+1)-0)/$Q$19*$Q$13)</f>
        <v>0.52206666666666668</v>
      </c>
      <c r="AD25" s="6">
        <f>2+$Q$20-(1+$Q$20+_xlfn.AGGREGATE(9,6,AC25:AC25))</f>
        <v>0.47793333333333332</v>
      </c>
      <c r="AE25">
        <f>IF(OR(X25&lt;0),NA(),(INDEX($B$6:$M$20,($Q$3-1-2)*$Q$4+X25+1,0*$Q$5+W25+1)-0)/$Q$19*$Q$13)</f>
        <v>0.39633333333333332</v>
      </c>
      <c r="AF25">
        <f>IF(OR(Q25&lt;=0,S25&gt;=$Q$10),3,NA())</f>
        <v>3</v>
      </c>
      <c r="AH25">
        <v>17.5</v>
      </c>
      <c r="AI25">
        <v>3</v>
      </c>
      <c r="AK25">
        <v>72.5</v>
      </c>
      <c r="AL25">
        <v>0.90999999999999992</v>
      </c>
      <c r="AN25">
        <v>16.5</v>
      </c>
      <c r="AO25">
        <f>IF(OR($Q$17&gt;0,$Q$18&lt;0),NA(),0+$Q$20)</f>
        <v>0</v>
      </c>
      <c r="AQ25">
        <v>19</v>
      </c>
      <c r="AR25">
        <f>2+$Q$13+0.03</f>
        <v>2.8499999999999996</v>
      </c>
      <c r="AS25" t="str">
        <f>Area!$A$7</f>
        <v>Business partner 02</v>
      </c>
      <c r="AU25">
        <v>4.3499999999999996</v>
      </c>
      <c r="AV25">
        <f>0+0.5*$Q$13</f>
        <v>0.41</v>
      </c>
      <c r="AW25" t="str">
        <f>TEXT($Q$17+($Q$18-$Q$17)*0.5,"#,##0")</f>
        <v>750</v>
      </c>
    </row>
    <row r="26" spans="1:54" x14ac:dyDescent="0.35">
      <c r="B26" s="5">
        <f>$B$9</f>
        <v>670</v>
      </c>
      <c r="C26" s="5">
        <f>$C$9</f>
        <v>748.2</v>
      </c>
      <c r="D26" s="5">
        <f>$D$9</f>
        <v>826.5</v>
      </c>
      <c r="E26" s="5">
        <f>$E$9</f>
        <v>724.8</v>
      </c>
      <c r="F26" s="5">
        <f>$F$9</f>
        <v>803</v>
      </c>
      <c r="G26" s="5">
        <f>$G$9</f>
        <v>881.2</v>
      </c>
      <c r="H26" s="5">
        <f>$H$9</f>
        <v>779.5</v>
      </c>
      <c r="I26" s="5">
        <f>$I$9</f>
        <v>857.8</v>
      </c>
      <c r="J26" s="5">
        <f>$J$9</f>
        <v>936</v>
      </c>
      <c r="K26" s="5">
        <f>$K$9</f>
        <v>834.3</v>
      </c>
      <c r="L26" s="5">
        <f>$L$9</f>
        <v>912.5</v>
      </c>
      <c r="M26" s="5">
        <f>$M$9</f>
        <v>990.7</v>
      </c>
      <c r="P26">
        <v>3</v>
      </c>
      <c r="Q26">
        <f>P26-$Q$12</f>
        <v>-1</v>
      </c>
      <c r="R26">
        <f>IF(Q26&lt;=0,-1,INT((Q26-1)/($Q$10+$Q$11)))</f>
        <v>-1</v>
      </c>
      <c r="S26">
        <f>IF(Q26&lt;=0,-1,MOD(Q26-1,($Q$10+$Q$11)))</f>
        <v>-1</v>
      </c>
      <c r="T26">
        <f>IF(OR(S26&lt;0,S26&gt;=$Q$10),-1,INT(S26/$Q$9))</f>
        <v>-1</v>
      </c>
      <c r="U26">
        <f>IF(OR(S26&lt;0,S26&gt;=$Q$10),-1,MOD(S26,$Q$9))</f>
        <v>-1</v>
      </c>
      <c r="V26">
        <f>IF(OR(Q26&lt;=0,S26&lt;0,S26&gt;=$Q$10,R26&gt;=$Q$7),1,0)</f>
        <v>1</v>
      </c>
      <c r="W26">
        <f>IF(Q26&lt;=0,0,IF(S26&lt;$Q$10,T26,IF(S26=$Q$10,$Q$5-1,0)))</f>
        <v>0</v>
      </c>
      <c r="X26">
        <f>IF(Q26&lt;=0,0,IF(S26&lt;=$Q$10,R26,R26+1))</f>
        <v>0</v>
      </c>
      <c r="Y26" t="str">
        <f>IF(V26=1,"",IF(AND(MOD(W26,3)=0,U26=INT(($Q$9-1)/2)),INDEX($B$5:$M$5,W26+1),""))</f>
        <v/>
      </c>
      <c r="Z26" s="6">
        <f>0+$Q$20</f>
        <v>0</v>
      </c>
      <c r="AA26">
        <f>IF(OR(X26&lt;0),NA(),(INDEX($B$6:$M$20,($Q$3-1-0)*$Q$4+X26+1,0*$Q$5+W26+1)-0)/$Q$19*$Q$13)</f>
        <v>0.21866666666666665</v>
      </c>
      <c r="AB26" s="6">
        <f>1+$Q$20-(0+$Q$20+_xlfn.AGGREGATE(9,6,AA26:AA26))</f>
        <v>0.78133333333333332</v>
      </c>
      <c r="AC26">
        <f>IF(OR(X26&lt;0),NA(),(INDEX($B$6:$M$20,($Q$3-1-1)*$Q$4+X26+1,0*$Q$5+W26+1)-0)/$Q$19*$Q$13)</f>
        <v>0.52206666666666668</v>
      </c>
      <c r="AD26" s="6">
        <f>2+$Q$20-(1+$Q$20+_xlfn.AGGREGATE(9,6,AC26:AC26))</f>
        <v>0.47793333333333332</v>
      </c>
      <c r="AE26">
        <f>IF(OR(X26&lt;0),NA(),(INDEX($B$6:$M$20,($Q$3-1-2)*$Q$4+X26+1,0*$Q$5+W26+1)-0)/$Q$19*$Q$13)</f>
        <v>0.39633333333333332</v>
      </c>
      <c r="AF26">
        <f>IF(OR(Q26&lt;=0,S26&gt;=$Q$10),3,NA())</f>
        <v>3</v>
      </c>
      <c r="AH26">
        <v>17.5</v>
      </c>
      <c r="AI26" t="e">
        <f>NA()</f>
        <v>#N/A</v>
      </c>
      <c r="AK26">
        <v>72.5</v>
      </c>
      <c r="AL26" t="e">
        <f>NA()</f>
        <v>#N/A</v>
      </c>
      <c r="AN26">
        <v>16.5</v>
      </c>
      <c r="AO26" t="e">
        <f>NA()</f>
        <v>#N/A</v>
      </c>
      <c r="AQ26">
        <v>33</v>
      </c>
      <c r="AR26">
        <f>2+$Q$13+0.03</f>
        <v>2.8499999999999996</v>
      </c>
      <c r="AS26" t="str">
        <f>Area!$A$8</f>
        <v>Business partner 03</v>
      </c>
      <c r="AU26">
        <v>4.3499999999999996</v>
      </c>
      <c r="AV26">
        <f>0+1*$Q$13</f>
        <v>0.82</v>
      </c>
      <c r="AW26" t="str">
        <f>TEXT($Q$17+($Q$18-$Q$17)*1,"#,##0")</f>
        <v>1,500</v>
      </c>
    </row>
    <row r="27" spans="1:54" x14ac:dyDescent="0.35">
      <c r="B27" s="5">
        <f>$B$10</f>
        <v>510</v>
      </c>
      <c r="C27" s="5">
        <f>$C$10</f>
        <v>582.79999999999995</v>
      </c>
      <c r="D27" s="5">
        <f>$D$10</f>
        <v>475.5</v>
      </c>
      <c r="E27" s="5">
        <f>$E$10</f>
        <v>548.20000000000005</v>
      </c>
      <c r="F27" s="5">
        <f>$F$10</f>
        <v>621</v>
      </c>
      <c r="G27" s="5">
        <f>$G$10</f>
        <v>513.79999999999995</v>
      </c>
      <c r="H27" s="5">
        <f>$H$10</f>
        <v>586.5</v>
      </c>
      <c r="I27" s="5">
        <f>$I$10</f>
        <v>659.2</v>
      </c>
      <c r="J27" s="5">
        <f>$J$10</f>
        <v>552</v>
      </c>
      <c r="K27" s="5">
        <f>$K$10</f>
        <v>624.79999999999995</v>
      </c>
      <c r="L27" s="5">
        <f>$L$10</f>
        <v>697.5</v>
      </c>
      <c r="M27" s="5">
        <f>$M$10</f>
        <v>590.20000000000005</v>
      </c>
      <c r="P27">
        <v>4</v>
      </c>
      <c r="Q27">
        <f>P27-$Q$12</f>
        <v>0</v>
      </c>
      <c r="R27">
        <f>IF(Q27&lt;=0,-1,INT((Q27-1)/($Q$10+$Q$11)))</f>
        <v>-1</v>
      </c>
      <c r="S27">
        <f>IF(Q27&lt;=0,-1,MOD(Q27-1,($Q$10+$Q$11)))</f>
        <v>-1</v>
      </c>
      <c r="T27">
        <f>IF(OR(S27&lt;0,S27&gt;=$Q$10),-1,INT(S27/$Q$9))</f>
        <v>-1</v>
      </c>
      <c r="U27">
        <f>IF(OR(S27&lt;0,S27&gt;=$Q$10),-1,MOD(S27,$Q$9))</f>
        <v>-1</v>
      </c>
      <c r="V27">
        <f>IF(OR(Q27&lt;=0,S27&lt;0,S27&gt;=$Q$10,R27&gt;=$Q$7),1,0)</f>
        <v>1</v>
      </c>
      <c r="W27">
        <f>IF(Q27&lt;=0,0,IF(S27&lt;$Q$10,T27,IF(S27=$Q$10,$Q$5-1,0)))</f>
        <v>0</v>
      </c>
      <c r="X27">
        <f>IF(Q27&lt;=0,0,IF(S27&lt;=$Q$10,R27,R27+1))</f>
        <v>0</v>
      </c>
      <c r="Y27" t="str">
        <f>IF(V27=1,"",IF(AND(MOD(W27,3)=0,U27=INT(($Q$9-1)/2)),INDEX($B$5:$M$5,W27+1),""))</f>
        <v/>
      </c>
      <c r="Z27" s="6">
        <f>0+$Q$20</f>
        <v>0</v>
      </c>
      <c r="AA27">
        <f>IF(OR(X27&lt;0),NA(),(INDEX($B$6:$M$20,($Q$3-1-0)*$Q$4+X27+1,0*$Q$5+W27+1)-0)/$Q$19*$Q$13)</f>
        <v>0.21866666666666665</v>
      </c>
      <c r="AB27" s="6">
        <f>1+$Q$20-(0+$Q$20+_xlfn.AGGREGATE(9,6,AA27:AA27))</f>
        <v>0.78133333333333332</v>
      </c>
      <c r="AC27">
        <f>IF(OR(X27&lt;0),NA(),(INDEX($B$6:$M$20,($Q$3-1-1)*$Q$4+X27+1,0*$Q$5+W27+1)-0)/$Q$19*$Q$13)</f>
        <v>0.52206666666666668</v>
      </c>
      <c r="AD27" s="6">
        <f>2+$Q$20-(1+$Q$20+_xlfn.AGGREGATE(9,6,AC27:AC27))</f>
        <v>0.47793333333333332</v>
      </c>
      <c r="AE27">
        <f>IF(OR(X27&lt;0),NA(),(INDEX($B$6:$M$20,($Q$3-1-2)*$Q$4+X27+1,0*$Q$5+W27+1)-0)/$Q$19*$Q$13)</f>
        <v>0.39633333333333332</v>
      </c>
      <c r="AF27">
        <f>IF(OR(Q27&lt;=0,S27&gt;=$Q$10),3,NA())</f>
        <v>3</v>
      </c>
      <c r="AH27">
        <v>31.5</v>
      </c>
      <c r="AI27">
        <v>0</v>
      </c>
      <c r="AK27">
        <v>0.5</v>
      </c>
      <c r="AL27">
        <v>1.91</v>
      </c>
      <c r="AN27">
        <v>18.5</v>
      </c>
      <c r="AO27">
        <f>IF(OR($Q$17&gt;0,$Q$18&lt;0),NA(),0+$Q$20)</f>
        <v>0</v>
      </c>
      <c r="AQ27">
        <v>47</v>
      </c>
      <c r="AR27">
        <f>2+$Q$13+0.03</f>
        <v>2.8499999999999996</v>
      </c>
      <c r="AS27" t="str">
        <f>Area!$A$9</f>
        <v>Business partner 04</v>
      </c>
      <c r="AU27">
        <v>4.3499999999999996</v>
      </c>
      <c r="AV27">
        <f>1+0*$Q$13</f>
        <v>1</v>
      </c>
      <c r="AW27" t="str">
        <f>TEXT($Q$17+($Q$18-$Q$17)*0,"#,##0")</f>
        <v>0</v>
      </c>
    </row>
    <row r="28" spans="1:54" x14ac:dyDescent="0.35">
      <c r="B28" s="5">
        <f>$B$11</f>
        <v>955</v>
      </c>
      <c r="C28" s="5">
        <f>$C$11</f>
        <v>857.4</v>
      </c>
      <c r="D28" s="5">
        <f>$D$11</f>
        <v>939.8</v>
      </c>
      <c r="E28" s="5">
        <f>$E$11</f>
        <v>1022.1</v>
      </c>
      <c r="F28" s="5">
        <f>$F$11</f>
        <v>924.5</v>
      </c>
      <c r="G28" s="5">
        <f>$G$11</f>
        <v>1006.9</v>
      </c>
      <c r="H28" s="5">
        <f>$H$11</f>
        <v>1089.2</v>
      </c>
      <c r="I28" s="5">
        <f>$I$11</f>
        <v>991.6</v>
      </c>
      <c r="J28" s="5">
        <f>$J$11</f>
        <v>1074</v>
      </c>
      <c r="K28" s="5">
        <f>$K$11</f>
        <v>1156.4000000000001</v>
      </c>
      <c r="L28" s="5">
        <f>$L$11</f>
        <v>1058.8</v>
      </c>
      <c r="M28" s="5">
        <f>$M$11</f>
        <v>1141.0999999999999</v>
      </c>
      <c r="P28">
        <v>5</v>
      </c>
      <c r="Q28">
        <f>P28-$Q$12</f>
        <v>1</v>
      </c>
      <c r="R28">
        <f>IF(Q28&lt;=0,-1,INT((Q28-1)/($Q$10+$Q$11)))</f>
        <v>0</v>
      </c>
      <c r="S28">
        <f>IF(Q28&lt;=0,-1,MOD(Q28-1,($Q$10+$Q$11)))</f>
        <v>0</v>
      </c>
      <c r="T28">
        <f>IF(OR(S28&lt;0,S28&gt;=$Q$10),-1,INT(S28/$Q$9))</f>
        <v>0</v>
      </c>
      <c r="U28">
        <f>IF(OR(S28&lt;0,S28&gt;=$Q$10),-1,MOD(S28,$Q$9))</f>
        <v>0</v>
      </c>
      <c r="V28">
        <f>IF(OR(Q28&lt;=0,S28&lt;0,S28&gt;=$Q$10,R28&gt;=$Q$7),1,0)</f>
        <v>0</v>
      </c>
      <c r="W28">
        <f>IF(Q28&lt;=0,0,IF(S28&lt;$Q$10,T28,IF(S28=$Q$10,$Q$5-1,0)))</f>
        <v>0</v>
      </c>
      <c r="X28">
        <f>IF(Q28&lt;=0,0,IF(S28&lt;=$Q$10,R28,R28+1))</f>
        <v>0</v>
      </c>
      <c r="Y28" t="str">
        <f>IF(V28=1,"",IF(AND(MOD(W28,3)=0,U28=INT(($Q$9-1)/2)),INDEX($B$5:$M$5,W28+1),""))</f>
        <v>Jan</v>
      </c>
      <c r="Z28" s="6">
        <f>0+$Q$20</f>
        <v>0</v>
      </c>
      <c r="AA28">
        <f>IF(OR(X28&lt;0),NA(),(INDEX($B$6:$M$20,($Q$3-1-0)*$Q$4+X28+1,0*$Q$5+W28+1)-0)/$Q$19*$Q$13)</f>
        <v>0.21866666666666665</v>
      </c>
      <c r="AB28" s="6">
        <f>1+$Q$20-(0+$Q$20+_xlfn.AGGREGATE(9,6,AA28:AA28))</f>
        <v>0.78133333333333332</v>
      </c>
      <c r="AC28">
        <f>IF(OR(X28&lt;0),NA(),(INDEX($B$6:$M$20,($Q$3-1-1)*$Q$4+X28+1,0*$Q$5+W28+1)-0)/$Q$19*$Q$13)</f>
        <v>0.52206666666666668</v>
      </c>
      <c r="AD28" s="6">
        <f>2+$Q$20-(1+$Q$20+_xlfn.AGGREGATE(9,6,AC28:AC28))</f>
        <v>0.47793333333333332</v>
      </c>
      <c r="AE28">
        <f>IF(OR(X28&lt;0),NA(),(INDEX($B$6:$M$20,($Q$3-1-2)*$Q$4+X28+1,0*$Q$5+W28+1)-0)/$Q$19*$Q$13)</f>
        <v>0.39633333333333332</v>
      </c>
      <c r="AF28" t="e">
        <f>IF(OR(Q28&lt;=0,S28&gt;=$Q$10),3,NA())</f>
        <v>#N/A</v>
      </c>
      <c r="AH28">
        <v>31.5</v>
      </c>
      <c r="AI28">
        <v>3</v>
      </c>
      <c r="AK28">
        <v>72.5</v>
      </c>
      <c r="AL28">
        <v>1.91</v>
      </c>
      <c r="AN28">
        <v>30.5</v>
      </c>
      <c r="AO28">
        <f>IF(OR($Q$17&gt;0,$Q$18&lt;0),NA(),0+$Q$20)</f>
        <v>0</v>
      </c>
      <c r="AQ28">
        <v>61</v>
      </c>
      <c r="AR28">
        <f>2+$Q$13+0.03</f>
        <v>2.8499999999999996</v>
      </c>
      <c r="AS28" t="str">
        <f>Area!$A$10</f>
        <v>Business partner 05</v>
      </c>
      <c r="AU28">
        <v>4.3499999999999996</v>
      </c>
      <c r="AV28">
        <f>1+0.5*$Q$13</f>
        <v>1.41</v>
      </c>
      <c r="AW28" t="str">
        <f>TEXT($Q$17+($Q$18-$Q$17)*0.5,"#,##0")</f>
        <v>750</v>
      </c>
    </row>
    <row r="29" spans="1:54" x14ac:dyDescent="0.35">
      <c r="B29" s="5">
        <f>$B$12</f>
        <v>615</v>
      </c>
      <c r="C29" s="5">
        <f>$C$12</f>
        <v>691.9</v>
      </c>
      <c r="D29" s="5">
        <f>$D$12</f>
        <v>768.8</v>
      </c>
      <c r="E29" s="5">
        <f>$E$12</f>
        <v>665.6</v>
      </c>
      <c r="F29" s="5">
        <f>$F$12</f>
        <v>742.5</v>
      </c>
      <c r="G29" s="5">
        <f>$G$12</f>
        <v>819.4</v>
      </c>
      <c r="H29" s="5">
        <f>$H$12</f>
        <v>716.2</v>
      </c>
      <c r="I29" s="5">
        <f>$I$12</f>
        <v>793.1</v>
      </c>
      <c r="J29" s="5">
        <f>$J$12</f>
        <v>870</v>
      </c>
      <c r="K29" s="5">
        <f>$K$12</f>
        <v>766.9</v>
      </c>
      <c r="L29" s="5">
        <f>$L$12</f>
        <v>843.8</v>
      </c>
      <c r="M29" s="5">
        <f>$M$12</f>
        <v>920.6</v>
      </c>
      <c r="P29">
        <v>6</v>
      </c>
      <c r="Q29">
        <f>P29-$Q$12</f>
        <v>2</v>
      </c>
      <c r="R29">
        <f>IF(Q29&lt;=0,-1,INT((Q29-1)/($Q$10+$Q$11)))</f>
        <v>0</v>
      </c>
      <c r="S29">
        <f>IF(Q29&lt;=0,-1,MOD(Q29-1,($Q$10+$Q$11)))</f>
        <v>1</v>
      </c>
      <c r="T29">
        <f>IF(OR(S29&lt;0,S29&gt;=$Q$10),-1,INT(S29/$Q$9))</f>
        <v>1</v>
      </c>
      <c r="U29">
        <f>IF(OR(S29&lt;0,S29&gt;=$Q$10),-1,MOD(S29,$Q$9))</f>
        <v>0</v>
      </c>
      <c r="V29">
        <f>IF(OR(Q29&lt;=0,S29&lt;0,S29&gt;=$Q$10,R29&gt;=$Q$7),1,0)</f>
        <v>0</v>
      </c>
      <c r="W29">
        <f>IF(Q29&lt;=0,0,IF(S29&lt;$Q$10,T29,IF(S29=$Q$10,$Q$5-1,0)))</f>
        <v>1</v>
      </c>
      <c r="X29">
        <f>IF(Q29&lt;=0,0,IF(S29&lt;=$Q$10,R29,R29+1))</f>
        <v>0</v>
      </c>
      <c r="Y29" t="str">
        <f>IF(V29=1,"",IF(AND(MOD(W29,3)=0,U29=INT(($Q$9-1)/2)),INDEX($B$5:$M$5,W29+1),""))</f>
        <v/>
      </c>
      <c r="Z29" s="6">
        <f>0+$Q$20</f>
        <v>0</v>
      </c>
      <c r="AA29">
        <f>IF(OR(X29&lt;0),NA(),(INDEX($B$6:$M$20,($Q$3-1-0)*$Q$4+X29+1,0*$Q$5+W29+1)-0)/$Q$19*$Q$13)</f>
        <v>0.25693333333333335</v>
      </c>
      <c r="AB29" s="6">
        <f>1+$Q$20-(0+$Q$20+_xlfn.AGGREGATE(9,6,AA29:AA29))</f>
        <v>0.74306666666666665</v>
      </c>
      <c r="AC29">
        <f>IF(OR(X29&lt;0),NA(),(INDEX($B$6:$M$20,($Q$3-1-1)*$Q$4+X29+1,0*$Q$5+W29+1)-0)/$Q$19*$Q$13)</f>
        <v>0.46871199999999996</v>
      </c>
      <c r="AD29" s="6">
        <f>2+$Q$20-(1+$Q$20+_xlfn.AGGREGATE(9,6,AC29:AC29))</f>
        <v>0.53128799999999998</v>
      </c>
      <c r="AE29">
        <f>IF(OR(X29&lt;0),NA(),(INDEX($B$6:$M$20,($Q$3-1-2)*$Q$4+X29+1,0*$Q$5+W29+1)-0)/$Q$19*$Q$13)</f>
        <v>0.43984799999999996</v>
      </c>
      <c r="AF29" t="e">
        <f>IF(OR(Q29&lt;=0,S29&gt;=$Q$10),3,NA())</f>
        <v>#N/A</v>
      </c>
      <c r="AH29">
        <v>31.5</v>
      </c>
      <c r="AI29" t="e">
        <f>NA()</f>
        <v>#N/A</v>
      </c>
      <c r="AK29">
        <v>72.5</v>
      </c>
      <c r="AL29" t="e">
        <f>NA()</f>
        <v>#N/A</v>
      </c>
      <c r="AN29">
        <v>30.5</v>
      </c>
      <c r="AO29" t="e">
        <f>NA()</f>
        <v>#N/A</v>
      </c>
      <c r="AQ29">
        <v>5</v>
      </c>
      <c r="AR29">
        <f>1+$Q$13+0.03</f>
        <v>1.8499999999999999</v>
      </c>
      <c r="AS29" t="str">
        <f>Area!$A$11</f>
        <v>Business partner 06</v>
      </c>
      <c r="AU29">
        <v>4.3499999999999996</v>
      </c>
      <c r="AV29">
        <f>1+1*$Q$13</f>
        <v>1.8199999999999998</v>
      </c>
      <c r="AW29" t="str">
        <f>TEXT($Q$17+($Q$18-$Q$17)*1,"#,##0")</f>
        <v>1,500</v>
      </c>
    </row>
    <row r="30" spans="1:54" x14ac:dyDescent="0.35">
      <c r="B30" s="5">
        <f>$B$13</f>
        <v>455</v>
      </c>
      <c r="C30" s="5">
        <f>$C$13</f>
        <v>526.4</v>
      </c>
      <c r="D30" s="5">
        <f>$D$13</f>
        <v>417.8</v>
      </c>
      <c r="E30" s="5">
        <f>$E$13</f>
        <v>489.1</v>
      </c>
      <c r="F30" s="5">
        <f>$F$13</f>
        <v>560.5</v>
      </c>
      <c r="G30" s="5">
        <f>$G$13</f>
        <v>451.9</v>
      </c>
      <c r="H30" s="5">
        <f>$H$13</f>
        <v>523.20000000000005</v>
      </c>
      <c r="I30" s="5">
        <f>$I$13</f>
        <v>594.6</v>
      </c>
      <c r="J30" s="5">
        <f>$J$13</f>
        <v>486</v>
      </c>
      <c r="K30" s="5">
        <f>$K$13</f>
        <v>557.4</v>
      </c>
      <c r="L30" s="5">
        <f>$L$13</f>
        <v>628.79999999999995</v>
      </c>
      <c r="M30" s="5">
        <f>$M$13</f>
        <v>520.1</v>
      </c>
      <c r="P30">
        <v>7</v>
      </c>
      <c r="Q30">
        <f>P30-$Q$12</f>
        <v>3</v>
      </c>
      <c r="R30">
        <f>IF(Q30&lt;=0,-1,INT((Q30-1)/($Q$10+$Q$11)))</f>
        <v>0</v>
      </c>
      <c r="S30">
        <f>IF(Q30&lt;=0,-1,MOD(Q30-1,($Q$10+$Q$11)))</f>
        <v>2</v>
      </c>
      <c r="T30">
        <f>IF(OR(S30&lt;0,S30&gt;=$Q$10),-1,INT(S30/$Q$9))</f>
        <v>2</v>
      </c>
      <c r="U30">
        <f>IF(OR(S30&lt;0,S30&gt;=$Q$10),-1,MOD(S30,$Q$9))</f>
        <v>0</v>
      </c>
      <c r="V30">
        <f>IF(OR(Q30&lt;=0,S30&lt;0,S30&gt;=$Q$10,R30&gt;=$Q$7),1,0)</f>
        <v>0</v>
      </c>
      <c r="W30">
        <f>IF(Q30&lt;=0,0,IF(S30&lt;$Q$10,T30,IF(S30=$Q$10,$Q$5-1,0)))</f>
        <v>2</v>
      </c>
      <c r="X30">
        <f>IF(Q30&lt;=0,0,IF(S30&lt;=$Q$10,R30,R30+1))</f>
        <v>0</v>
      </c>
      <c r="Y30" t="str">
        <f>IF(V30=1,"",IF(AND(MOD(W30,3)=0,U30=INT(($Q$9-1)/2)),INDEX($B$5:$M$5,W30+1),""))</f>
        <v/>
      </c>
      <c r="Z30" s="6">
        <f>0+$Q$20</f>
        <v>0</v>
      </c>
      <c r="AA30">
        <f>IF(OR(X30&lt;0),NA(),(INDEX($B$6:$M$20,($Q$3-1-0)*$Q$4+X30+1,0*$Q$5+W30+1)-0)/$Q$19*$Q$13)</f>
        <v>0.19679999999999997</v>
      </c>
      <c r="AB30" s="6">
        <f>1+$Q$20-(0+$Q$20+_xlfn.AGGREGATE(9,6,AA30:AA30))</f>
        <v>0.80320000000000003</v>
      </c>
      <c r="AC30">
        <f>IF(OR(X30&lt;0),NA(),(INDEX($B$6:$M$20,($Q$3-1-1)*$Q$4+X30+1,0*$Q$5+W30+1)-0)/$Q$19*$Q$13)</f>
        <v>0.51375733333333329</v>
      </c>
      <c r="AD30" s="6">
        <f>2+$Q$20-(1+$Q$20+_xlfn.AGGREGATE(9,6,AC30:AC30))</f>
        <v>0.4862426666666666</v>
      </c>
      <c r="AE30">
        <f>IF(OR(X30&lt;0),NA(),(INDEX($B$6:$M$20,($Q$3-1-2)*$Q$4+X30+1,0*$Q$5+W30+1)-0)/$Q$19*$Q$13)</f>
        <v>0.48336266666666666</v>
      </c>
      <c r="AF30" t="e">
        <f>IF(OR(Q30&lt;=0,S30&gt;=$Q$10),3,NA())</f>
        <v>#N/A</v>
      </c>
      <c r="AH30">
        <v>45.5</v>
      </c>
      <c r="AI30">
        <v>0</v>
      </c>
      <c r="AN30">
        <v>32.5</v>
      </c>
      <c r="AO30">
        <f>IF(OR($Q$17&gt;0,$Q$18&lt;0),NA(),0+$Q$20)</f>
        <v>0</v>
      </c>
      <c r="AQ30">
        <v>19</v>
      </c>
      <c r="AR30">
        <f>1+$Q$13+0.03</f>
        <v>1.8499999999999999</v>
      </c>
      <c r="AS30" t="str">
        <f>Area!$A$12</f>
        <v>Business partner 07</v>
      </c>
      <c r="AU30">
        <v>4.3499999999999996</v>
      </c>
      <c r="AV30">
        <f>2+0*$Q$13</f>
        <v>2</v>
      </c>
      <c r="AW30" t="str">
        <f>TEXT($Q$17+($Q$18-$Q$17)*0,"#,##0")</f>
        <v>0</v>
      </c>
    </row>
    <row r="31" spans="1:54" x14ac:dyDescent="0.35">
      <c r="B31" s="5">
        <f>$B$14</f>
        <v>900</v>
      </c>
      <c r="C31" s="5">
        <f>$C$14</f>
        <v>801</v>
      </c>
      <c r="D31" s="5">
        <f>$D$14</f>
        <v>882</v>
      </c>
      <c r="E31" s="5">
        <f>$E$14</f>
        <v>963</v>
      </c>
      <c r="F31" s="5">
        <f>$F$14</f>
        <v>864</v>
      </c>
      <c r="G31" s="5">
        <f>$G$14</f>
        <v>945</v>
      </c>
      <c r="H31" s="5">
        <f>$H$14</f>
        <v>1026</v>
      </c>
      <c r="I31" s="5">
        <f>$I$14</f>
        <v>927</v>
      </c>
      <c r="J31" s="5">
        <f>$J$14</f>
        <v>1008</v>
      </c>
      <c r="K31" s="5">
        <f>$K$14</f>
        <v>1089</v>
      </c>
      <c r="L31" s="5">
        <f>$L$14</f>
        <v>990</v>
      </c>
      <c r="M31" s="5">
        <f>$M$14</f>
        <v>1071</v>
      </c>
      <c r="P31">
        <v>8</v>
      </c>
      <c r="Q31">
        <f>P31-$Q$12</f>
        <v>4</v>
      </c>
      <c r="R31">
        <f>IF(Q31&lt;=0,-1,INT((Q31-1)/($Q$10+$Q$11)))</f>
        <v>0</v>
      </c>
      <c r="S31">
        <f>IF(Q31&lt;=0,-1,MOD(Q31-1,($Q$10+$Q$11)))</f>
        <v>3</v>
      </c>
      <c r="T31">
        <f>IF(OR(S31&lt;0,S31&gt;=$Q$10),-1,INT(S31/$Q$9))</f>
        <v>3</v>
      </c>
      <c r="U31">
        <f>IF(OR(S31&lt;0,S31&gt;=$Q$10),-1,MOD(S31,$Q$9))</f>
        <v>0</v>
      </c>
      <c r="V31">
        <f>IF(OR(Q31&lt;=0,S31&lt;0,S31&gt;=$Q$10,R31&gt;=$Q$7),1,0)</f>
        <v>0</v>
      </c>
      <c r="W31">
        <f>IF(Q31&lt;=0,0,IF(S31&lt;$Q$10,T31,IF(S31=$Q$10,$Q$5-1,0)))</f>
        <v>3</v>
      </c>
      <c r="X31">
        <f>IF(Q31&lt;=0,0,IF(S31&lt;=$Q$10,R31,R31+1))</f>
        <v>0</v>
      </c>
      <c r="Y31" t="str">
        <f>IF(V31=1,"",IF(AND(MOD(W31,3)=0,U31=INT(($Q$9-1)/2)),INDEX($B$5:$M$5,W31+1),""))</f>
        <v>Apr</v>
      </c>
      <c r="Z31" s="6">
        <f>0+$Q$20</f>
        <v>0</v>
      </c>
      <c r="AA31">
        <f>IF(OR(X31&lt;0),NA(),(INDEX($B$6:$M$20,($Q$3-1-0)*$Q$4+X31+1,0*$Q$5+W31+1)-0)/$Q$19*$Q$13)</f>
        <v>0.23506666666666667</v>
      </c>
      <c r="AB31" s="6">
        <f>1+$Q$20-(0+$Q$20+_xlfn.AGGREGATE(9,6,AA31:AA31))</f>
        <v>0.76493333333333335</v>
      </c>
      <c r="AC31">
        <f>IF(OR(X31&lt;0),NA(),(INDEX($B$6:$M$20,($Q$3-1-1)*$Q$4+X31+1,0*$Q$5+W31+1)-0)/$Q$19*$Q$13)</f>
        <v>0.55874800000000002</v>
      </c>
      <c r="AD31" s="6">
        <f>2+$Q$20-(1+$Q$20+_xlfn.AGGREGATE(9,6,AC31:AC31))</f>
        <v>0.44125199999999998</v>
      </c>
      <c r="AE31">
        <f>IF(OR(X31&lt;0),NA(),(INDEX($B$6:$M$20,($Q$3-1-2)*$Q$4+X31+1,0*$Q$5+W31+1)-0)/$Q$19*$Q$13)</f>
        <v>0.42853199999999991</v>
      </c>
      <c r="AF31" t="e">
        <f>IF(OR(Q31&lt;=0,S31&gt;=$Q$10),3,NA())</f>
        <v>#N/A</v>
      </c>
      <c r="AH31">
        <v>45.5</v>
      </c>
      <c r="AI31">
        <v>3</v>
      </c>
      <c r="AN31">
        <v>44.5</v>
      </c>
      <c r="AO31">
        <f>IF(OR($Q$17&gt;0,$Q$18&lt;0),NA(),0+$Q$20)</f>
        <v>0</v>
      </c>
      <c r="AQ31">
        <v>33</v>
      </c>
      <c r="AR31">
        <f>1+$Q$13+0.03</f>
        <v>1.8499999999999999</v>
      </c>
      <c r="AS31" t="str">
        <f>Area!$A$13</f>
        <v>Business partner 08</v>
      </c>
      <c r="AU31">
        <v>4.3499999999999996</v>
      </c>
      <c r="AV31">
        <f>2+0.5*$Q$13</f>
        <v>2.41</v>
      </c>
      <c r="AW31" t="str">
        <f>TEXT($Q$17+($Q$18-$Q$17)*0.5,"#,##0")</f>
        <v>750</v>
      </c>
    </row>
    <row r="32" spans="1:54" x14ac:dyDescent="0.35">
      <c r="B32" s="5">
        <f>$B$15</f>
        <v>560</v>
      </c>
      <c r="C32" s="5">
        <f>$C$15</f>
        <v>635.5</v>
      </c>
      <c r="D32" s="5">
        <f>$D$15</f>
        <v>711</v>
      </c>
      <c r="E32" s="5">
        <f>$E$15</f>
        <v>606.5</v>
      </c>
      <c r="F32" s="5">
        <f>$F$15</f>
        <v>682</v>
      </c>
      <c r="G32" s="5">
        <f>$G$15</f>
        <v>757.5</v>
      </c>
      <c r="H32" s="5">
        <f>$H$15</f>
        <v>653</v>
      </c>
      <c r="I32" s="5">
        <f>$I$15</f>
        <v>728.5</v>
      </c>
      <c r="J32" s="5">
        <f>$J$15</f>
        <v>804</v>
      </c>
      <c r="K32" s="5">
        <f>$K$15</f>
        <v>699.5</v>
      </c>
      <c r="L32" s="5">
        <f>$L$15</f>
        <v>775</v>
      </c>
      <c r="M32" s="5">
        <f>$M$15</f>
        <v>850.5</v>
      </c>
      <c r="P32">
        <v>9</v>
      </c>
      <c r="Q32">
        <f>P32-$Q$12</f>
        <v>5</v>
      </c>
      <c r="R32">
        <f>IF(Q32&lt;=0,-1,INT((Q32-1)/($Q$10+$Q$11)))</f>
        <v>0</v>
      </c>
      <c r="S32">
        <f>IF(Q32&lt;=0,-1,MOD(Q32-1,($Q$10+$Q$11)))</f>
        <v>4</v>
      </c>
      <c r="T32">
        <f>IF(OR(S32&lt;0,S32&gt;=$Q$10),-1,INT(S32/$Q$9))</f>
        <v>4</v>
      </c>
      <c r="U32">
        <f>IF(OR(S32&lt;0,S32&gt;=$Q$10),-1,MOD(S32,$Q$9))</f>
        <v>0</v>
      </c>
      <c r="V32">
        <f>IF(OR(Q32&lt;=0,S32&lt;0,S32&gt;=$Q$10,R32&gt;=$Q$7),1,0)</f>
        <v>0</v>
      </c>
      <c r="W32">
        <f>IF(Q32&lt;=0,0,IF(S32&lt;$Q$10,T32,IF(S32=$Q$10,$Q$5-1,0)))</f>
        <v>4</v>
      </c>
      <c r="X32">
        <f>IF(Q32&lt;=0,0,IF(S32&lt;=$Q$10,R32,R32+1))</f>
        <v>0</v>
      </c>
      <c r="Y32" t="str">
        <f>IF(V32=1,"",IF(AND(MOD(W32,3)=0,U32=INT(($Q$9-1)/2)),INDEX($B$5:$M$5,W32+1),""))</f>
        <v/>
      </c>
      <c r="Z32" s="6">
        <f>0+$Q$20</f>
        <v>0</v>
      </c>
      <c r="AA32">
        <f>IF(OR(X32&lt;0),NA(),(INDEX($B$6:$M$20,($Q$3-1-0)*$Q$4+X32+1,0*$Q$5+W32+1)-0)/$Q$19*$Q$13)</f>
        <v>0.27333333333333332</v>
      </c>
      <c r="AB32" s="6">
        <f>1+$Q$20-(0+$Q$20+_xlfn.AGGREGATE(9,6,AA32:AA32))</f>
        <v>0.72666666666666668</v>
      </c>
      <c r="AC32">
        <f>IF(OR(X32&lt;0),NA(),(INDEX($B$6:$M$20,($Q$3-1-1)*$Q$4+X32+1,0*$Q$5+W32+1)-0)/$Q$19*$Q$13)</f>
        <v>0.50539333333333325</v>
      </c>
      <c r="AD32" s="6">
        <f>2+$Q$20-(1+$Q$20+_xlfn.AGGREGATE(9,6,AC32:AC32))</f>
        <v>0.49460666666666686</v>
      </c>
      <c r="AE32">
        <f>IF(OR(X32&lt;0),NA(),(INDEX($B$6:$M$20,($Q$3-1-2)*$Q$4+X32+1,0*$Q$5+W32+1)-0)/$Q$19*$Q$13)</f>
        <v>0.47204666666666661</v>
      </c>
      <c r="AF32" t="e">
        <f>IF(OR(Q32&lt;=0,S32&gt;=$Q$10),3,NA())</f>
        <v>#N/A</v>
      </c>
      <c r="AH32">
        <v>45.5</v>
      </c>
      <c r="AI32" t="e">
        <f>NA()</f>
        <v>#N/A</v>
      </c>
      <c r="AN32">
        <v>44.5</v>
      </c>
      <c r="AO32" t="e">
        <f>NA()</f>
        <v>#N/A</v>
      </c>
      <c r="AQ32">
        <v>47</v>
      </c>
      <c r="AR32">
        <f>1+$Q$13+0.03</f>
        <v>1.8499999999999999</v>
      </c>
      <c r="AS32" t="str">
        <f>Area!$A$14</f>
        <v>Business partner 09</v>
      </c>
      <c r="AU32">
        <v>4.3499999999999996</v>
      </c>
      <c r="AV32">
        <f>2+1*$Q$13</f>
        <v>2.82</v>
      </c>
      <c r="AW32" t="str">
        <f>TEXT($Q$17+($Q$18-$Q$17)*1,"#,##0")</f>
        <v>1,500</v>
      </c>
    </row>
    <row r="33" spans="2:45" x14ac:dyDescent="0.35">
      <c r="B33" s="5">
        <f>$B$16</f>
        <v>400</v>
      </c>
      <c r="C33" s="5">
        <f>$C$16</f>
        <v>470</v>
      </c>
      <c r="D33" s="5">
        <f>$D$16</f>
        <v>360</v>
      </c>
      <c r="E33" s="5">
        <f>$E$16</f>
        <v>430</v>
      </c>
      <c r="F33" s="5">
        <f>$F$16</f>
        <v>500</v>
      </c>
      <c r="G33" s="5">
        <f>$G$16</f>
        <v>390</v>
      </c>
      <c r="H33" s="5">
        <f>$H$16</f>
        <v>460</v>
      </c>
      <c r="I33" s="5">
        <f>$I$16</f>
        <v>530</v>
      </c>
      <c r="J33" s="5">
        <f>$J$16</f>
        <v>420</v>
      </c>
      <c r="K33" s="5">
        <f>$K$16</f>
        <v>490</v>
      </c>
      <c r="L33" s="5">
        <f>$L$16</f>
        <v>560</v>
      </c>
      <c r="M33" s="5">
        <f>$M$16</f>
        <v>450</v>
      </c>
      <c r="P33">
        <v>10</v>
      </c>
      <c r="Q33">
        <f>P33-$Q$12</f>
        <v>6</v>
      </c>
      <c r="R33">
        <f>IF(Q33&lt;=0,-1,INT((Q33-1)/($Q$10+$Q$11)))</f>
        <v>0</v>
      </c>
      <c r="S33">
        <f>IF(Q33&lt;=0,-1,MOD(Q33-1,($Q$10+$Q$11)))</f>
        <v>5</v>
      </c>
      <c r="T33">
        <f>IF(OR(S33&lt;0,S33&gt;=$Q$10),-1,INT(S33/$Q$9))</f>
        <v>5</v>
      </c>
      <c r="U33">
        <f>IF(OR(S33&lt;0,S33&gt;=$Q$10),-1,MOD(S33,$Q$9))</f>
        <v>0</v>
      </c>
      <c r="V33">
        <f>IF(OR(Q33&lt;=0,S33&lt;0,S33&gt;=$Q$10,R33&gt;=$Q$7),1,0)</f>
        <v>0</v>
      </c>
      <c r="W33">
        <f>IF(Q33&lt;=0,0,IF(S33&lt;$Q$10,T33,IF(S33=$Q$10,$Q$5-1,0)))</f>
        <v>5</v>
      </c>
      <c r="X33">
        <f>IF(Q33&lt;=0,0,IF(S33&lt;=$Q$10,R33,R33+1))</f>
        <v>0</v>
      </c>
      <c r="Y33" t="str">
        <f>IF(V33=1,"",IF(AND(MOD(W33,3)=0,U33=INT(($Q$9-1)/2)),INDEX($B$5:$M$5,W33+1),""))</f>
        <v/>
      </c>
      <c r="Z33" s="6">
        <f>0+$Q$20</f>
        <v>0</v>
      </c>
      <c r="AA33">
        <f>IF(OR(X33&lt;0),NA(),(INDEX($B$6:$M$20,($Q$3-1-0)*$Q$4+X33+1,0*$Q$5+W33+1)-0)/$Q$19*$Q$13)</f>
        <v>0.2132</v>
      </c>
      <c r="AB33" s="6">
        <f>1+$Q$20-(0+$Q$20+_xlfn.AGGREGATE(9,6,AA33:AA33))</f>
        <v>0.78679999999999994</v>
      </c>
      <c r="AC33">
        <f>IF(OR(X33&lt;0),NA(),(INDEX($B$6:$M$20,($Q$3-1-1)*$Q$4+X33+1,0*$Q$5+W33+1)-0)/$Q$19*$Q$13)</f>
        <v>0.55043866666666663</v>
      </c>
      <c r="AD33" s="6">
        <f>2+$Q$20-(1+$Q$20+_xlfn.AGGREGATE(9,6,AC33:AC33))</f>
        <v>0.44956133333333348</v>
      </c>
      <c r="AE33">
        <f>IF(OR(X33&lt;0),NA(),(INDEX($B$6:$M$20,($Q$3-1-2)*$Q$4+X33+1,0*$Q$5+W33+1)-0)/$Q$19*$Q$13)</f>
        <v>0.51556133333333332</v>
      </c>
      <c r="AF33" t="e">
        <f>IF(OR(Q33&lt;=0,S33&gt;=$Q$10),3,NA())</f>
        <v>#N/A</v>
      </c>
      <c r="AH33">
        <v>59.5</v>
      </c>
      <c r="AI33">
        <v>0</v>
      </c>
      <c r="AN33">
        <v>46.5</v>
      </c>
      <c r="AO33">
        <f>IF(OR($Q$17&gt;0,$Q$18&lt;0),NA(),0+$Q$20)</f>
        <v>0</v>
      </c>
      <c r="AQ33">
        <v>61</v>
      </c>
      <c r="AR33">
        <f>1+$Q$13+0.03</f>
        <v>1.8499999999999999</v>
      </c>
      <c r="AS33" t="str">
        <f>Area!$A$15</f>
        <v>Business partner 10</v>
      </c>
    </row>
    <row r="34" spans="2:45" x14ac:dyDescent="0.35">
      <c r="B34" s="5">
        <f>$B$17</f>
        <v>845</v>
      </c>
      <c r="C34" s="5">
        <f>$C$17</f>
        <v>744.6</v>
      </c>
      <c r="D34" s="5">
        <f>$D$17</f>
        <v>824.2</v>
      </c>
      <c r="E34" s="5">
        <f>$E$17</f>
        <v>903.9</v>
      </c>
      <c r="F34" s="5">
        <f>$F$17</f>
        <v>803.5</v>
      </c>
      <c r="G34" s="5">
        <f>$G$17</f>
        <v>883.1</v>
      </c>
      <c r="H34" s="5">
        <f>$H$17</f>
        <v>962.7</v>
      </c>
      <c r="I34" s="5">
        <f>$I$17</f>
        <v>862.4</v>
      </c>
      <c r="J34" s="5">
        <f>$J$17</f>
        <v>942</v>
      </c>
      <c r="K34" s="5">
        <f>$K$17</f>
        <v>1021.6</v>
      </c>
      <c r="L34" s="5">
        <f>$L$17</f>
        <v>921.2</v>
      </c>
      <c r="M34" s="5">
        <f>$M$17</f>
        <v>1000.9</v>
      </c>
      <c r="P34">
        <v>11</v>
      </c>
      <c r="Q34">
        <f>P34-$Q$12</f>
        <v>7</v>
      </c>
      <c r="R34">
        <f>IF(Q34&lt;=0,-1,INT((Q34-1)/($Q$10+$Q$11)))</f>
        <v>0</v>
      </c>
      <c r="S34">
        <f>IF(Q34&lt;=0,-1,MOD(Q34-1,($Q$10+$Q$11)))</f>
        <v>6</v>
      </c>
      <c r="T34">
        <f>IF(OR(S34&lt;0,S34&gt;=$Q$10),-1,INT(S34/$Q$9))</f>
        <v>6</v>
      </c>
      <c r="U34">
        <f>IF(OR(S34&lt;0,S34&gt;=$Q$10),-1,MOD(S34,$Q$9))</f>
        <v>0</v>
      </c>
      <c r="V34">
        <f>IF(OR(Q34&lt;=0,S34&lt;0,S34&gt;=$Q$10,R34&gt;=$Q$7),1,0)</f>
        <v>0</v>
      </c>
      <c r="W34">
        <f>IF(Q34&lt;=0,0,IF(S34&lt;$Q$10,T34,IF(S34=$Q$10,$Q$5-1,0)))</f>
        <v>6</v>
      </c>
      <c r="X34">
        <f>IF(Q34&lt;=0,0,IF(S34&lt;=$Q$10,R34,R34+1))</f>
        <v>0</v>
      </c>
      <c r="Y34" t="str">
        <f>IF(V34=1,"",IF(AND(MOD(W34,3)=0,U34=INT(($Q$9-1)/2)),INDEX($B$5:$M$5,W34+1),""))</f>
        <v>Jul</v>
      </c>
      <c r="Z34" s="6">
        <f>0+$Q$20</f>
        <v>0</v>
      </c>
      <c r="AA34">
        <f>IF(OR(X34&lt;0),NA(),(INDEX($B$6:$M$20,($Q$3-1-0)*$Q$4+X34+1,0*$Q$5+W34+1)-0)/$Q$19*$Q$13)</f>
        <v>0.25146666666666662</v>
      </c>
      <c r="AB34" s="6">
        <f>1+$Q$20-(0+$Q$20+_xlfn.AGGREGATE(9,6,AA34:AA34))</f>
        <v>0.74853333333333338</v>
      </c>
      <c r="AC34">
        <f>IF(OR(X34&lt;0),NA(),(INDEX($B$6:$M$20,($Q$3-1-1)*$Q$4+X34+1,0*$Q$5+W34+1)-0)/$Q$19*$Q$13)</f>
        <v>0.59542933333333337</v>
      </c>
      <c r="AD34" s="6">
        <f>2+$Q$20-(1+$Q$20+_xlfn.AGGREGATE(9,6,AC34:AC34))</f>
        <v>0.40457066666666663</v>
      </c>
      <c r="AE34">
        <f>IF(OR(X34&lt;0),NA(),(INDEX($B$6:$M$20,($Q$3-1-2)*$Q$4+X34+1,0*$Q$5+W34+1)-0)/$Q$19*$Q$13)</f>
        <v>0.46067600000000003</v>
      </c>
      <c r="AF34" t="e">
        <f>IF(OR(Q34&lt;=0,S34&gt;=$Q$10),3,NA())</f>
        <v>#N/A</v>
      </c>
      <c r="AH34">
        <v>59.5</v>
      </c>
      <c r="AI34">
        <v>3</v>
      </c>
      <c r="AN34">
        <v>58.5</v>
      </c>
      <c r="AO34">
        <f>IF(OR($Q$17&gt;0,$Q$18&lt;0),NA(),0+$Q$20)</f>
        <v>0</v>
      </c>
      <c r="AQ34">
        <v>5</v>
      </c>
      <c r="AR34">
        <f>0+$Q$13+0.03</f>
        <v>0.85</v>
      </c>
      <c r="AS34" t="str">
        <f>Area!$A$16</f>
        <v>Business partner 11</v>
      </c>
    </row>
    <row r="35" spans="2:45" x14ac:dyDescent="0.35">
      <c r="B35" s="5">
        <f>$B$18</f>
        <v>505</v>
      </c>
      <c r="C35" s="5">
        <f>$C$18</f>
        <v>579.1</v>
      </c>
      <c r="D35" s="5">
        <f>$D$18</f>
        <v>653.20000000000005</v>
      </c>
      <c r="E35" s="5">
        <f>$E$18</f>
        <v>547.4</v>
      </c>
      <c r="F35" s="5">
        <f>$F$18</f>
        <v>621.5</v>
      </c>
      <c r="G35" s="5">
        <f>$G$18</f>
        <v>695.6</v>
      </c>
      <c r="H35" s="5">
        <f>$H$18</f>
        <v>589.79999999999995</v>
      </c>
      <c r="I35" s="5">
        <f>$I$18</f>
        <v>663.9</v>
      </c>
      <c r="J35" s="5">
        <f>$J$18</f>
        <v>738</v>
      </c>
      <c r="K35" s="5">
        <f>$K$18</f>
        <v>632.1</v>
      </c>
      <c r="L35" s="5">
        <f>$L$18</f>
        <v>706.2</v>
      </c>
      <c r="M35" s="5">
        <f>$M$18</f>
        <v>780.4</v>
      </c>
      <c r="P35">
        <v>12</v>
      </c>
      <c r="Q35">
        <f>P35-$Q$12</f>
        <v>8</v>
      </c>
      <c r="R35">
        <f>IF(Q35&lt;=0,-1,INT((Q35-1)/($Q$10+$Q$11)))</f>
        <v>0</v>
      </c>
      <c r="S35">
        <f>IF(Q35&lt;=0,-1,MOD(Q35-1,($Q$10+$Q$11)))</f>
        <v>7</v>
      </c>
      <c r="T35">
        <f>IF(OR(S35&lt;0,S35&gt;=$Q$10),-1,INT(S35/$Q$9))</f>
        <v>7</v>
      </c>
      <c r="U35">
        <f>IF(OR(S35&lt;0,S35&gt;=$Q$10),-1,MOD(S35,$Q$9))</f>
        <v>0</v>
      </c>
      <c r="V35">
        <f>IF(OR(Q35&lt;=0,S35&lt;0,S35&gt;=$Q$10,R35&gt;=$Q$7),1,0)</f>
        <v>0</v>
      </c>
      <c r="W35">
        <f>IF(Q35&lt;=0,0,IF(S35&lt;$Q$10,T35,IF(S35=$Q$10,$Q$5-1,0)))</f>
        <v>7</v>
      </c>
      <c r="X35">
        <f>IF(Q35&lt;=0,0,IF(S35&lt;=$Q$10,R35,R35+1))</f>
        <v>0</v>
      </c>
      <c r="Y35" t="str">
        <f>IF(V35=1,"",IF(AND(MOD(W35,3)=0,U35=INT(($Q$9-1)/2)),INDEX($B$5:$M$5,W35+1),""))</f>
        <v/>
      </c>
      <c r="Z35" s="6">
        <f>0+$Q$20</f>
        <v>0</v>
      </c>
      <c r="AA35">
        <f>IF(OR(X35&lt;0),NA(),(INDEX($B$6:$M$20,($Q$3-1-0)*$Q$4+X35+1,0*$Q$5+W35+1)-0)/$Q$19*$Q$13)</f>
        <v>0.28973333333333334</v>
      </c>
      <c r="AB35" s="6">
        <f>1+$Q$20-(0+$Q$20+_xlfn.AGGREGATE(9,6,AA35:AA35))</f>
        <v>0.7102666666666666</v>
      </c>
      <c r="AC35">
        <f>IF(OR(X35&lt;0),NA(),(INDEX($B$6:$M$20,($Q$3-1-1)*$Q$4+X35+1,0*$Q$5+W35+1)-0)/$Q$19*$Q$13)</f>
        <v>0.5420746666666667</v>
      </c>
      <c r="AD35" s="6">
        <f>2+$Q$20-(1+$Q$20+_xlfn.AGGREGATE(9,6,AC35:AC35))</f>
        <v>0.4579253333333333</v>
      </c>
      <c r="AE35">
        <f>IF(OR(X35&lt;0),NA(),(INDEX($B$6:$M$20,($Q$3-1-2)*$Q$4+X35+1,0*$Q$5+W35+1)-0)/$Q$19*$Q$13)</f>
        <v>0.50424533333333332</v>
      </c>
      <c r="AF35" t="e">
        <f>IF(OR(Q35&lt;=0,S35&gt;=$Q$10),3,NA())</f>
        <v>#N/A</v>
      </c>
      <c r="AH35">
        <v>59.5</v>
      </c>
      <c r="AI35" t="e">
        <f>NA()</f>
        <v>#N/A</v>
      </c>
      <c r="AN35">
        <v>58.5</v>
      </c>
      <c r="AO35" t="e">
        <f>NA()</f>
        <v>#N/A</v>
      </c>
      <c r="AQ35">
        <v>19</v>
      </c>
      <c r="AR35">
        <f>0+$Q$13+0.03</f>
        <v>0.85</v>
      </c>
      <c r="AS35" t="str">
        <f>Area!$A$17</f>
        <v>Business partner 12</v>
      </c>
    </row>
    <row r="36" spans="2:45" x14ac:dyDescent="0.35">
      <c r="B36" s="5">
        <f>$B$19</f>
        <v>950</v>
      </c>
      <c r="C36" s="5">
        <f>$C$19</f>
        <v>1033.8</v>
      </c>
      <c r="D36" s="5">
        <f>$D$19</f>
        <v>937.5</v>
      </c>
      <c r="E36" s="5">
        <f>$E$19</f>
        <v>1021.2</v>
      </c>
      <c r="F36" s="5">
        <f>$F$19</f>
        <v>1105</v>
      </c>
      <c r="G36" s="5">
        <f>$G$19</f>
        <v>1008.8</v>
      </c>
      <c r="H36" s="5">
        <f>$H$19</f>
        <v>1092.5</v>
      </c>
      <c r="I36" s="5">
        <f>$I$19</f>
        <v>1176.2</v>
      </c>
      <c r="J36" s="5">
        <f>$J$19</f>
        <v>1080</v>
      </c>
      <c r="K36" s="5">
        <f>$K$19</f>
        <v>1163.8</v>
      </c>
      <c r="L36" s="5">
        <f>$L$19</f>
        <v>1247.5</v>
      </c>
      <c r="M36" s="5">
        <f>$M$19</f>
        <v>1151.2</v>
      </c>
      <c r="P36">
        <v>13</v>
      </c>
      <c r="Q36">
        <f>P36-$Q$12</f>
        <v>9</v>
      </c>
      <c r="R36">
        <f>IF(Q36&lt;=0,-1,INT((Q36-1)/($Q$10+$Q$11)))</f>
        <v>0</v>
      </c>
      <c r="S36">
        <f>IF(Q36&lt;=0,-1,MOD(Q36-1,($Q$10+$Q$11)))</f>
        <v>8</v>
      </c>
      <c r="T36">
        <f>IF(OR(S36&lt;0,S36&gt;=$Q$10),-1,INT(S36/$Q$9))</f>
        <v>8</v>
      </c>
      <c r="U36">
        <f>IF(OR(S36&lt;0,S36&gt;=$Q$10),-1,MOD(S36,$Q$9))</f>
        <v>0</v>
      </c>
      <c r="V36">
        <f>IF(OR(Q36&lt;=0,S36&lt;0,S36&gt;=$Q$10,R36&gt;=$Q$7),1,0)</f>
        <v>0</v>
      </c>
      <c r="W36">
        <f>IF(Q36&lt;=0,0,IF(S36&lt;$Q$10,T36,IF(S36=$Q$10,$Q$5-1,0)))</f>
        <v>8</v>
      </c>
      <c r="X36">
        <f>IF(Q36&lt;=0,0,IF(S36&lt;=$Q$10,R36,R36+1))</f>
        <v>0</v>
      </c>
      <c r="Y36" t="str">
        <f>IF(V36=1,"",IF(AND(MOD(W36,3)=0,U36=INT(($Q$9-1)/2)),INDEX($B$5:$M$5,W36+1),""))</f>
        <v/>
      </c>
      <c r="Z36" s="6">
        <f>0+$Q$20</f>
        <v>0</v>
      </c>
      <c r="AA36">
        <f>IF(OR(X36&lt;0),NA(),(INDEX($B$6:$M$20,($Q$3-1-0)*$Q$4+X36+1,0*$Q$5+W36+1)-0)/$Q$19*$Q$13)</f>
        <v>0.2296</v>
      </c>
      <c r="AB36" s="6">
        <f>1+$Q$20-(0+$Q$20+_xlfn.AGGREGATE(9,6,AA36:AA36))</f>
        <v>0.77039999999999997</v>
      </c>
      <c r="AC36">
        <f>IF(OR(X36&lt;0),NA(),(INDEX($B$6:$M$20,($Q$3-1-1)*$Q$4+X36+1,0*$Q$5+W36+1)-0)/$Q$19*$Q$13)</f>
        <v>0.58711999999999998</v>
      </c>
      <c r="AD36" s="6">
        <f>2+$Q$20-(1+$Q$20+_xlfn.AGGREGATE(9,6,AC36:AC36))</f>
        <v>0.41287999999999991</v>
      </c>
      <c r="AE36">
        <f>IF(OR(X36&lt;0),NA(),(INDEX($B$6:$M$20,($Q$3-1-2)*$Q$4+X36+1,0*$Q$5+W36+1)-0)/$Q$19*$Q$13)</f>
        <v>0.54776000000000002</v>
      </c>
      <c r="AF36" t="e">
        <f>IF(OR(Q36&lt;=0,S36&gt;=$Q$10),3,NA())</f>
        <v>#N/A</v>
      </c>
      <c r="AN36">
        <v>60.5</v>
      </c>
      <c r="AO36">
        <f>IF(OR($Q$17&gt;0,$Q$18&lt;0),NA(),0+$Q$20)</f>
        <v>0</v>
      </c>
      <c r="AQ36">
        <v>33</v>
      </c>
      <c r="AR36">
        <f>0+$Q$13+0.03</f>
        <v>0.85</v>
      </c>
      <c r="AS36" t="str">
        <f>Area!$A$18</f>
        <v>Business partner 13</v>
      </c>
    </row>
    <row r="37" spans="2:45" x14ac:dyDescent="0.35">
      <c r="B37" s="5">
        <f>$B$20</f>
        <v>790</v>
      </c>
      <c r="C37" s="5">
        <f>$C$20</f>
        <v>688.2</v>
      </c>
      <c r="D37" s="5">
        <f>$D$20</f>
        <v>766.5</v>
      </c>
      <c r="E37" s="5">
        <f>$E$20</f>
        <v>844.8</v>
      </c>
      <c r="F37" s="5">
        <f>$F$20</f>
        <v>743</v>
      </c>
      <c r="G37" s="5">
        <f>$G$20</f>
        <v>821.2</v>
      </c>
      <c r="H37" s="5">
        <f>$H$20</f>
        <v>899.5</v>
      </c>
      <c r="I37" s="5">
        <f>$I$20</f>
        <v>797.8</v>
      </c>
      <c r="J37" s="5">
        <f>$J$20</f>
        <v>876</v>
      </c>
      <c r="K37" s="5">
        <f>$K$20</f>
        <v>954.3</v>
      </c>
      <c r="L37" s="5">
        <f>$L$20</f>
        <v>852.5</v>
      </c>
      <c r="M37" s="5">
        <f>$M$20</f>
        <v>930.7</v>
      </c>
      <c r="P37">
        <v>14</v>
      </c>
      <c r="Q37">
        <f>P37-$Q$12</f>
        <v>10</v>
      </c>
      <c r="R37">
        <f>IF(Q37&lt;=0,-1,INT((Q37-1)/($Q$10+$Q$11)))</f>
        <v>0</v>
      </c>
      <c r="S37">
        <f>IF(Q37&lt;=0,-1,MOD(Q37-1,($Q$10+$Q$11)))</f>
        <v>9</v>
      </c>
      <c r="T37">
        <f>IF(OR(S37&lt;0,S37&gt;=$Q$10),-1,INT(S37/$Q$9))</f>
        <v>9</v>
      </c>
      <c r="U37">
        <f>IF(OR(S37&lt;0,S37&gt;=$Q$10),-1,MOD(S37,$Q$9))</f>
        <v>0</v>
      </c>
      <c r="V37">
        <f>IF(OR(Q37&lt;=0,S37&lt;0,S37&gt;=$Q$10,R37&gt;=$Q$7),1,0)</f>
        <v>0</v>
      </c>
      <c r="W37">
        <f>IF(Q37&lt;=0,0,IF(S37&lt;$Q$10,T37,IF(S37=$Q$10,$Q$5-1,0)))</f>
        <v>9</v>
      </c>
      <c r="X37">
        <f>IF(Q37&lt;=0,0,IF(S37&lt;=$Q$10,R37,R37+1))</f>
        <v>0</v>
      </c>
      <c r="Y37" t="str">
        <f>IF(V37=1,"",IF(AND(MOD(W37,3)=0,U37=INT(($Q$9-1)/2)),INDEX($B$5:$M$5,W37+1),""))</f>
        <v>Oct</v>
      </c>
      <c r="Z37" s="6">
        <f>0+$Q$20</f>
        <v>0</v>
      </c>
      <c r="AA37">
        <f>IF(OR(X37&lt;0),NA(),(INDEX($B$6:$M$20,($Q$3-1-0)*$Q$4+X37+1,0*$Q$5+W37+1)-0)/$Q$19*$Q$13)</f>
        <v>0.26786666666666664</v>
      </c>
      <c r="AB37" s="6">
        <f>1+$Q$20-(0+$Q$20+_xlfn.AGGREGATE(9,6,AA37:AA37))</f>
        <v>0.7321333333333333</v>
      </c>
      <c r="AC37">
        <f>IF(OR(X37&lt;0),NA(),(INDEX($B$6:$M$20,($Q$3-1-1)*$Q$4+X37+1,0*$Q$5+W37+1)-0)/$Q$19*$Q$13)</f>
        <v>0.63216533333333336</v>
      </c>
      <c r="AD37" s="6">
        <f>2+$Q$20-(1+$Q$20+_xlfn.AGGREGATE(9,6,AC37:AC37))</f>
        <v>0.36783466666666653</v>
      </c>
      <c r="AE37">
        <f>IF(OR(X37&lt;0),NA(),(INDEX($B$6:$M$20,($Q$3-1-2)*$Q$4+X37+1,0*$Q$5+W37+1)-0)/$Q$19*$Q$13)</f>
        <v>0.49287466666666663</v>
      </c>
      <c r="AF37" t="e">
        <f>IF(OR(Q37&lt;=0,S37&gt;=$Q$10),3,NA())</f>
        <v>#N/A</v>
      </c>
      <c r="AN37">
        <v>72.5</v>
      </c>
      <c r="AO37">
        <f>IF(OR($Q$17&gt;0,$Q$18&lt;0),NA(),0+$Q$20)</f>
        <v>0</v>
      </c>
      <c r="AQ37">
        <v>47</v>
      </c>
      <c r="AR37">
        <f>0+$Q$13+0.03</f>
        <v>0.85</v>
      </c>
      <c r="AS37" t="str">
        <f>Area!$A$19</f>
        <v>Business partner 14</v>
      </c>
    </row>
    <row r="38" spans="2:45" x14ac:dyDescent="0.35">
      <c r="P38">
        <v>15</v>
      </c>
      <c r="Q38">
        <f>P38-$Q$12</f>
        <v>11</v>
      </c>
      <c r="R38">
        <f>IF(Q38&lt;=0,-1,INT((Q38-1)/($Q$10+$Q$11)))</f>
        <v>0</v>
      </c>
      <c r="S38">
        <f>IF(Q38&lt;=0,-1,MOD(Q38-1,($Q$10+$Q$11)))</f>
        <v>10</v>
      </c>
      <c r="T38">
        <f>IF(OR(S38&lt;0,S38&gt;=$Q$10),-1,INT(S38/$Q$9))</f>
        <v>10</v>
      </c>
      <c r="U38">
        <f>IF(OR(S38&lt;0,S38&gt;=$Q$10),-1,MOD(S38,$Q$9))</f>
        <v>0</v>
      </c>
      <c r="V38">
        <f>IF(OR(Q38&lt;=0,S38&lt;0,S38&gt;=$Q$10,R38&gt;=$Q$7),1,0)</f>
        <v>0</v>
      </c>
      <c r="W38">
        <f>IF(Q38&lt;=0,0,IF(S38&lt;$Q$10,T38,IF(S38=$Q$10,$Q$5-1,0)))</f>
        <v>10</v>
      </c>
      <c r="X38">
        <f>IF(Q38&lt;=0,0,IF(S38&lt;=$Q$10,R38,R38+1))</f>
        <v>0</v>
      </c>
      <c r="Y38" t="str">
        <f>IF(V38=1,"",IF(AND(MOD(W38,3)=0,U38=INT(($Q$9-1)/2)),INDEX($B$5:$M$5,W38+1),""))</f>
        <v/>
      </c>
      <c r="Z38" s="6">
        <f>0+$Q$20</f>
        <v>0</v>
      </c>
      <c r="AA38">
        <f>IF(OR(X38&lt;0),NA(),(INDEX($B$6:$M$20,($Q$3-1-0)*$Q$4+X38+1,0*$Q$5+W38+1)-0)/$Q$19*$Q$13)</f>
        <v>0.30613333333333331</v>
      </c>
      <c r="AB38" s="6">
        <f>1+$Q$20-(0+$Q$20+_xlfn.AGGREGATE(9,6,AA38:AA38))</f>
        <v>0.69386666666666663</v>
      </c>
      <c r="AC38">
        <f>IF(OR(X38&lt;0),NA(),(INDEX($B$6:$M$20,($Q$3-1-1)*$Q$4+X38+1,0*$Q$5+W38+1)-0)/$Q$19*$Q$13)</f>
        <v>0.57881066666666658</v>
      </c>
      <c r="AD38" s="6">
        <f>2+$Q$20-(1+$Q$20+_xlfn.AGGREGATE(9,6,AC38:AC38))</f>
        <v>0.42118933333333342</v>
      </c>
      <c r="AE38">
        <f>IF(OR(X38&lt;0),NA(),(INDEX($B$6:$M$20,($Q$3-1-2)*$Q$4+X38+1,0*$Q$5+W38+1)-0)/$Q$19*$Q$13)</f>
        <v>0.53638933333333327</v>
      </c>
      <c r="AF38" t="e">
        <f>IF(OR(Q38&lt;=0,S38&gt;=$Q$10),3,NA())</f>
        <v>#N/A</v>
      </c>
      <c r="AN38">
        <v>72.5</v>
      </c>
      <c r="AO38" t="e">
        <f>NA()</f>
        <v>#N/A</v>
      </c>
      <c r="AQ38">
        <v>61</v>
      </c>
      <c r="AR38">
        <f>0+$Q$13+0.03</f>
        <v>0.85</v>
      </c>
      <c r="AS38" t="str">
        <f>Area!$A$20</f>
        <v>Business partner 15</v>
      </c>
    </row>
    <row r="39" spans="2:45" x14ac:dyDescent="0.35">
      <c r="P39">
        <v>16</v>
      </c>
      <c r="Q39">
        <f>P39-$Q$12</f>
        <v>12</v>
      </c>
      <c r="R39">
        <f>IF(Q39&lt;=0,-1,INT((Q39-1)/($Q$10+$Q$11)))</f>
        <v>0</v>
      </c>
      <c r="S39">
        <f>IF(Q39&lt;=0,-1,MOD(Q39-1,($Q$10+$Q$11)))</f>
        <v>11</v>
      </c>
      <c r="T39">
        <f>IF(OR(S39&lt;0,S39&gt;=$Q$10),-1,INT(S39/$Q$9))</f>
        <v>11</v>
      </c>
      <c r="U39">
        <f>IF(OR(S39&lt;0,S39&gt;=$Q$10),-1,MOD(S39,$Q$9))</f>
        <v>0</v>
      </c>
      <c r="V39">
        <f>IF(OR(Q39&lt;=0,S39&lt;0,S39&gt;=$Q$10,R39&gt;=$Q$7),1,0)</f>
        <v>0</v>
      </c>
      <c r="W39">
        <f>IF(Q39&lt;=0,0,IF(S39&lt;$Q$10,T39,IF(S39=$Q$10,$Q$5-1,0)))</f>
        <v>11</v>
      </c>
      <c r="X39">
        <f>IF(Q39&lt;=0,0,IF(S39&lt;=$Q$10,R39,R39+1))</f>
        <v>0</v>
      </c>
      <c r="Y39" t="str">
        <f>IF(V39=1,"",IF(AND(MOD(W39,3)=0,U39=INT(($Q$9-1)/2)),INDEX($B$5:$M$5,W39+1),""))</f>
        <v/>
      </c>
      <c r="Z39" s="6">
        <f>0+$Q$20</f>
        <v>0</v>
      </c>
      <c r="AA39">
        <f>IF(OR(X39&lt;0),NA(),(INDEX($B$6:$M$20,($Q$3-1-0)*$Q$4+X39+1,0*$Q$5+W39+1)-0)/$Q$19*$Q$13)</f>
        <v>0.24599999999999997</v>
      </c>
      <c r="AB39" s="6">
        <f>1+$Q$20-(0+$Q$20+_xlfn.AGGREGATE(9,6,AA39:AA39))</f>
        <v>0.754</v>
      </c>
      <c r="AC39">
        <f>IF(OR(X39&lt;0),NA(),(INDEX($B$6:$M$20,($Q$3-1-1)*$Q$4+X39+1,0*$Q$5+W39+1)-0)/$Q$19*$Q$13)</f>
        <v>0.62380133333333321</v>
      </c>
      <c r="AD39" s="6">
        <f>2+$Q$20-(1+$Q$20+_xlfn.AGGREGATE(9,6,AC39:AC39))</f>
        <v>0.37619866666666679</v>
      </c>
      <c r="AE39">
        <f>IF(OR(X39&lt;0),NA(),(INDEX($B$6:$M$20,($Q$3-1-2)*$Q$4+X39+1,0*$Q$5+W39+1)-0)/$Q$19*$Q$13)</f>
        <v>0.57995866666666662</v>
      </c>
      <c r="AF39" t="e">
        <f>IF(OR(Q39&lt;=0,S39&gt;=$Q$10),3,NA())</f>
        <v>#N/A</v>
      </c>
      <c r="AN39">
        <v>4.5</v>
      </c>
      <c r="AO39">
        <f>IF(OR($Q$17&gt;0,$Q$18&lt;0),NA(),1+$Q$20)</f>
        <v>1</v>
      </c>
    </row>
    <row r="40" spans="2:45" x14ac:dyDescent="0.35">
      <c r="P40">
        <v>17</v>
      </c>
      <c r="Q40">
        <f>P40-$Q$12</f>
        <v>13</v>
      </c>
      <c r="R40">
        <f>IF(Q40&lt;=0,-1,INT((Q40-1)/($Q$10+$Q$11)))</f>
        <v>0</v>
      </c>
      <c r="S40">
        <f>IF(Q40&lt;=0,-1,MOD(Q40-1,($Q$10+$Q$11)))</f>
        <v>12</v>
      </c>
      <c r="T40">
        <f>IF(OR(S40&lt;0,S40&gt;=$Q$10),-1,INT(S40/$Q$9))</f>
        <v>-1</v>
      </c>
      <c r="U40">
        <f>IF(OR(S40&lt;0,S40&gt;=$Q$10),-1,MOD(S40,$Q$9))</f>
        <v>-1</v>
      </c>
      <c r="V40">
        <f>IF(OR(Q40&lt;=0,S40&lt;0,S40&gt;=$Q$10,R40&gt;=$Q$7),1,0)</f>
        <v>1</v>
      </c>
      <c r="W40">
        <f>IF(Q40&lt;=0,0,IF(S40&lt;$Q$10,T40,IF(S40=$Q$10,$Q$5-1,0)))</f>
        <v>11</v>
      </c>
      <c r="X40">
        <f>IF(Q40&lt;=0,0,IF(S40&lt;=$Q$10,R40,R40+1))</f>
        <v>0</v>
      </c>
      <c r="Y40" t="str">
        <f>IF(V40=1,"",IF(AND(MOD(W40,3)=0,U40=INT(($Q$9-1)/2)),INDEX($B$5:$M$5,W40+1),""))</f>
        <v/>
      </c>
      <c r="Z40" s="6">
        <f>0+$Q$20</f>
        <v>0</v>
      </c>
      <c r="AA40">
        <f>IF(OR(X40&lt;0),NA(),(INDEX($B$6:$M$20,($Q$3-1-0)*$Q$4+X40+1,0*$Q$5+W40+1)-0)/$Q$19*$Q$13)</f>
        <v>0.24599999999999997</v>
      </c>
      <c r="AB40" s="6">
        <f>1+$Q$20-(0+$Q$20+_xlfn.AGGREGATE(9,6,AA40:AA40))</f>
        <v>0.754</v>
      </c>
      <c r="AC40">
        <f>IF(OR(X40&lt;0),NA(),(INDEX($B$6:$M$20,($Q$3-1-1)*$Q$4+X40+1,0*$Q$5+W40+1)-0)/$Q$19*$Q$13)</f>
        <v>0.62380133333333321</v>
      </c>
      <c r="AD40" s="6">
        <f>2+$Q$20-(1+$Q$20+_xlfn.AGGREGATE(9,6,AC40:AC40))</f>
        <v>0.37619866666666679</v>
      </c>
      <c r="AE40">
        <f>IF(OR(X40&lt;0),NA(),(INDEX($B$6:$M$20,($Q$3-1-2)*$Q$4+X40+1,0*$Q$5+W40+1)-0)/$Q$19*$Q$13)</f>
        <v>0.57995866666666662</v>
      </c>
      <c r="AF40">
        <f>IF(OR(Q40&lt;=0,S40&gt;=$Q$10),3,NA())</f>
        <v>3</v>
      </c>
      <c r="AN40">
        <v>16.5</v>
      </c>
      <c r="AO40">
        <f>IF(OR($Q$17&gt;0,$Q$18&lt;0),NA(),1+$Q$20)</f>
        <v>1</v>
      </c>
    </row>
    <row r="41" spans="2:45" x14ac:dyDescent="0.35">
      <c r="P41">
        <v>18</v>
      </c>
      <c r="Q41">
        <f>P41-$Q$12</f>
        <v>14</v>
      </c>
      <c r="R41">
        <f>IF(Q41&lt;=0,-1,INT((Q41-1)/($Q$10+$Q$11)))</f>
        <v>0</v>
      </c>
      <c r="S41">
        <f>IF(Q41&lt;=0,-1,MOD(Q41-1,($Q$10+$Q$11)))</f>
        <v>13</v>
      </c>
      <c r="T41">
        <f>IF(OR(S41&lt;0,S41&gt;=$Q$10),-1,INT(S41/$Q$9))</f>
        <v>-1</v>
      </c>
      <c r="U41">
        <f>IF(OR(S41&lt;0,S41&gt;=$Q$10),-1,MOD(S41,$Q$9))</f>
        <v>-1</v>
      </c>
      <c r="V41">
        <f>IF(OR(Q41&lt;=0,S41&lt;0,S41&gt;=$Q$10,R41&gt;=$Q$7),1,0)</f>
        <v>1</v>
      </c>
      <c r="W41">
        <f>IF(Q41&lt;=0,0,IF(S41&lt;$Q$10,T41,IF(S41=$Q$10,$Q$5-1,0)))</f>
        <v>0</v>
      </c>
      <c r="X41">
        <f>IF(Q41&lt;=0,0,IF(S41&lt;=$Q$10,R41,R41+1))</f>
        <v>1</v>
      </c>
      <c r="Y41" t="str">
        <f>IF(V41=1,"",IF(AND(MOD(W41,3)=0,U41=INT(($Q$9-1)/2)),INDEX($B$5:$M$5,W41+1),""))</f>
        <v/>
      </c>
      <c r="Z41" s="6">
        <f>0+$Q$20</f>
        <v>0</v>
      </c>
      <c r="AA41">
        <f>IF(OR(X41&lt;0),NA(),(INDEX($B$6:$M$20,($Q$3-1-0)*$Q$4+X41+1,0*$Q$5+W41+1)-0)/$Q$19*$Q$13)</f>
        <v>0.46193333333333331</v>
      </c>
      <c r="AB41" s="6">
        <f>1+$Q$20-(0+$Q$20+_xlfn.AGGREGATE(9,6,AA41:AA41))</f>
        <v>0.53806666666666669</v>
      </c>
      <c r="AC41">
        <f>IF(OR(X41&lt;0),NA(),(INDEX($B$6:$M$20,($Q$3-1-1)*$Q$4+X41+1,0*$Q$5+W41+1)-0)/$Q$19*$Q$13)</f>
        <v>0.33619999999999994</v>
      </c>
      <c r="AD41" s="6">
        <f>2+$Q$20-(1+$Q$20+_xlfn.AGGREGATE(9,6,AC41:AC41))</f>
        <v>0.66380000000000017</v>
      </c>
      <c r="AE41">
        <f>IF(OR(X41&lt;0),NA(),(INDEX($B$6:$M$20,($Q$3-1-2)*$Q$4+X41+1,0*$Q$5+W41+1)-0)/$Q$19*$Q$13)</f>
        <v>0.30886666666666662</v>
      </c>
      <c r="AF41">
        <f>IF(OR(Q41&lt;=0,S41&gt;=$Q$10),3,NA())</f>
        <v>3</v>
      </c>
      <c r="AN41">
        <v>16.5</v>
      </c>
      <c r="AO41" t="e">
        <f>NA()</f>
        <v>#N/A</v>
      </c>
    </row>
    <row r="42" spans="2:45" x14ac:dyDescent="0.35">
      <c r="P42">
        <v>19</v>
      </c>
      <c r="Q42">
        <f>P42-$Q$12</f>
        <v>15</v>
      </c>
      <c r="R42">
        <f>IF(Q42&lt;=0,-1,INT((Q42-1)/($Q$10+$Q$11)))</f>
        <v>1</v>
      </c>
      <c r="S42">
        <f>IF(Q42&lt;=0,-1,MOD(Q42-1,($Q$10+$Q$11)))</f>
        <v>0</v>
      </c>
      <c r="T42">
        <f>IF(OR(S42&lt;0,S42&gt;=$Q$10),-1,INT(S42/$Q$9))</f>
        <v>0</v>
      </c>
      <c r="U42">
        <f>IF(OR(S42&lt;0,S42&gt;=$Q$10),-1,MOD(S42,$Q$9))</f>
        <v>0</v>
      </c>
      <c r="V42">
        <f>IF(OR(Q42&lt;=0,S42&lt;0,S42&gt;=$Q$10,R42&gt;=$Q$7),1,0)</f>
        <v>0</v>
      </c>
      <c r="W42">
        <f>IF(Q42&lt;=0,0,IF(S42&lt;$Q$10,T42,IF(S42=$Q$10,$Q$5-1,0)))</f>
        <v>0</v>
      </c>
      <c r="X42">
        <f>IF(Q42&lt;=0,0,IF(S42&lt;=$Q$10,R42,R42+1))</f>
        <v>1</v>
      </c>
      <c r="Y42" t="str">
        <f>IF(V42=1,"",IF(AND(MOD(W42,3)=0,U42=INT(($Q$9-1)/2)),INDEX($B$5:$M$5,W42+1),""))</f>
        <v>Jan</v>
      </c>
      <c r="Z42" s="6">
        <f>0+$Q$20</f>
        <v>0</v>
      </c>
      <c r="AA42">
        <f>IF(OR(X42&lt;0),NA(),(INDEX($B$6:$M$20,($Q$3-1-0)*$Q$4+X42+1,0*$Q$5+W42+1)-0)/$Q$19*$Q$13)</f>
        <v>0.46193333333333331</v>
      </c>
      <c r="AB42" s="6">
        <f>1+$Q$20-(0+$Q$20+_xlfn.AGGREGATE(9,6,AA42:AA42))</f>
        <v>0.53806666666666669</v>
      </c>
      <c r="AC42">
        <f>IF(OR(X42&lt;0),NA(),(INDEX($B$6:$M$20,($Q$3-1-1)*$Q$4+X42+1,0*$Q$5+W42+1)-0)/$Q$19*$Q$13)</f>
        <v>0.33619999999999994</v>
      </c>
      <c r="AD42" s="6">
        <f>2+$Q$20-(1+$Q$20+_xlfn.AGGREGATE(9,6,AC42:AC42))</f>
        <v>0.66380000000000017</v>
      </c>
      <c r="AE42">
        <f>IF(OR(X42&lt;0),NA(),(INDEX($B$6:$M$20,($Q$3-1-2)*$Q$4+X42+1,0*$Q$5+W42+1)-0)/$Q$19*$Q$13)</f>
        <v>0.30886666666666662</v>
      </c>
      <c r="AF42" t="e">
        <f>IF(OR(Q42&lt;=0,S42&gt;=$Q$10),3,NA())</f>
        <v>#N/A</v>
      </c>
      <c r="AN42">
        <v>18.5</v>
      </c>
      <c r="AO42">
        <f>IF(OR($Q$17&gt;0,$Q$18&lt;0),NA(),1+$Q$20)</f>
        <v>1</v>
      </c>
    </row>
    <row r="43" spans="2:45" x14ac:dyDescent="0.35">
      <c r="P43">
        <v>20</v>
      </c>
      <c r="Q43">
        <f>P43-$Q$12</f>
        <v>16</v>
      </c>
      <c r="R43">
        <f>IF(Q43&lt;=0,-1,INT((Q43-1)/($Q$10+$Q$11)))</f>
        <v>1</v>
      </c>
      <c r="S43">
        <f>IF(Q43&lt;=0,-1,MOD(Q43-1,($Q$10+$Q$11)))</f>
        <v>1</v>
      </c>
      <c r="T43">
        <f>IF(OR(S43&lt;0,S43&gt;=$Q$10),-1,INT(S43/$Q$9))</f>
        <v>1</v>
      </c>
      <c r="U43">
        <f>IF(OR(S43&lt;0,S43&gt;=$Q$10),-1,MOD(S43,$Q$9))</f>
        <v>0</v>
      </c>
      <c r="V43">
        <f>IF(OR(Q43&lt;=0,S43&lt;0,S43&gt;=$Q$10,R43&gt;=$Q$7),1,0)</f>
        <v>0</v>
      </c>
      <c r="W43">
        <f>IF(Q43&lt;=0,0,IF(S43&lt;$Q$10,T43,IF(S43=$Q$10,$Q$5-1,0)))</f>
        <v>1</v>
      </c>
      <c r="X43">
        <f>IF(Q43&lt;=0,0,IF(S43&lt;=$Q$10,R43,R43+1))</f>
        <v>1</v>
      </c>
      <c r="Y43" t="str">
        <f>IF(V43=1,"",IF(AND(MOD(W43,3)=0,U43=INT(($Q$9-1)/2)),INDEX($B$5:$M$5,W43+1),""))</f>
        <v/>
      </c>
      <c r="Z43" s="6">
        <f>0+$Q$20</f>
        <v>0</v>
      </c>
      <c r="AA43">
        <f>IF(OR(X43&lt;0),NA(),(INDEX($B$6:$M$20,($Q$3-1-0)*$Q$4+X43+1,0*$Q$5+W43+1)-0)/$Q$19*$Q$13)</f>
        <v>0.40704799999999997</v>
      </c>
      <c r="AB43" s="6">
        <f>1+$Q$20-(0+$Q$20+_xlfn.AGGREGATE(9,6,AA43:AA43))</f>
        <v>0.59295200000000003</v>
      </c>
      <c r="AC43">
        <f>IF(OR(X43&lt;0),NA(),(INDEX($B$6:$M$20,($Q$3-1-1)*$Q$4+X43+1,0*$Q$5+W43+1)-0)/$Q$19*$Q$13)</f>
        <v>0.37823866666666661</v>
      </c>
      <c r="AD43" s="6">
        <f>2+$Q$20-(1+$Q$20+_xlfn.AGGREGATE(9,6,AC43:AC43))</f>
        <v>0.62176133333333339</v>
      </c>
      <c r="AE43">
        <f>IF(OR(X43&lt;0),NA(),(INDEX($B$6:$M$20,($Q$3-1-2)*$Q$4+X43+1,0*$Q$5+W43+1)-0)/$Q$19*$Q$13)</f>
        <v>0.34937466666666667</v>
      </c>
      <c r="AF43" t="e">
        <f>IF(OR(Q43&lt;=0,S43&gt;=$Q$10),3,NA())</f>
        <v>#N/A</v>
      </c>
      <c r="AN43">
        <v>30.5</v>
      </c>
      <c r="AO43">
        <f>IF(OR($Q$17&gt;0,$Q$18&lt;0),NA(),1+$Q$20)</f>
        <v>1</v>
      </c>
    </row>
    <row r="44" spans="2:45" x14ac:dyDescent="0.35">
      <c r="P44">
        <v>21</v>
      </c>
      <c r="Q44">
        <f>P44-$Q$12</f>
        <v>17</v>
      </c>
      <c r="R44">
        <f>IF(Q44&lt;=0,-1,INT((Q44-1)/($Q$10+$Q$11)))</f>
        <v>1</v>
      </c>
      <c r="S44">
        <f>IF(Q44&lt;=0,-1,MOD(Q44-1,($Q$10+$Q$11)))</f>
        <v>2</v>
      </c>
      <c r="T44">
        <f>IF(OR(S44&lt;0,S44&gt;=$Q$10),-1,INT(S44/$Q$9))</f>
        <v>2</v>
      </c>
      <c r="U44">
        <f>IF(OR(S44&lt;0,S44&gt;=$Q$10),-1,MOD(S44,$Q$9))</f>
        <v>0</v>
      </c>
      <c r="V44">
        <f>IF(OR(Q44&lt;=0,S44&lt;0,S44&gt;=$Q$10,R44&gt;=$Q$7),1,0)</f>
        <v>0</v>
      </c>
      <c r="W44">
        <f>IF(Q44&lt;=0,0,IF(S44&lt;$Q$10,T44,IF(S44=$Q$10,$Q$5-1,0)))</f>
        <v>2</v>
      </c>
      <c r="X44">
        <f>IF(Q44&lt;=0,0,IF(S44&lt;=$Q$10,R44,R44+1))</f>
        <v>1</v>
      </c>
      <c r="Y44" t="str">
        <f>IF(V44=1,"",IF(AND(MOD(W44,3)=0,U44=INT(($Q$9-1)/2)),INDEX($B$5:$M$5,W44+1),""))</f>
        <v/>
      </c>
      <c r="Z44" s="6">
        <f>0+$Q$20</f>
        <v>0</v>
      </c>
      <c r="AA44">
        <f>IF(OR(X44&lt;0),NA(),(INDEX($B$6:$M$20,($Q$3-1-0)*$Q$4+X44+1,0*$Q$5+W44+1)-0)/$Q$19*$Q$13)</f>
        <v>0.45056266666666661</v>
      </c>
      <c r="AB44" s="6">
        <f>1+$Q$20-(0+$Q$20+_xlfn.AGGREGATE(9,6,AA44:AA44))</f>
        <v>0.54943733333333333</v>
      </c>
      <c r="AC44">
        <f>IF(OR(X44&lt;0),NA(),(INDEX($B$6:$M$20,($Q$3-1-1)*$Q$4+X44+1,0*$Q$5+W44+1)-0)/$Q$19*$Q$13)</f>
        <v>0.42027733333333328</v>
      </c>
      <c r="AD44" s="6">
        <f>2+$Q$20-(1+$Q$20+_xlfn.AGGREGATE(9,6,AC44:AC44))</f>
        <v>0.57972266666666661</v>
      </c>
      <c r="AE44">
        <f>IF(OR(X44&lt;0),NA(),(INDEX($B$6:$M$20,($Q$3-1-2)*$Q$4+X44+1,0*$Q$5+W44+1)-0)/$Q$19*$Q$13)</f>
        <v>0.29148266666666667</v>
      </c>
      <c r="AF44" t="e">
        <f>IF(OR(Q44&lt;=0,S44&gt;=$Q$10),3,NA())</f>
        <v>#N/A</v>
      </c>
      <c r="AN44">
        <v>30.5</v>
      </c>
      <c r="AO44" t="e">
        <f>NA()</f>
        <v>#N/A</v>
      </c>
    </row>
    <row r="45" spans="2:45" x14ac:dyDescent="0.35">
      <c r="P45">
        <v>22</v>
      </c>
      <c r="Q45">
        <f>P45-$Q$12</f>
        <v>18</v>
      </c>
      <c r="R45">
        <f>IF(Q45&lt;=0,-1,INT((Q45-1)/($Q$10+$Q$11)))</f>
        <v>1</v>
      </c>
      <c r="S45">
        <f>IF(Q45&lt;=0,-1,MOD(Q45-1,($Q$10+$Q$11)))</f>
        <v>3</v>
      </c>
      <c r="T45">
        <f>IF(OR(S45&lt;0,S45&gt;=$Q$10),-1,INT(S45/$Q$9))</f>
        <v>3</v>
      </c>
      <c r="U45">
        <f>IF(OR(S45&lt;0,S45&gt;=$Q$10),-1,MOD(S45,$Q$9))</f>
        <v>0</v>
      </c>
      <c r="V45">
        <f>IF(OR(Q45&lt;=0,S45&lt;0,S45&gt;=$Q$10,R45&gt;=$Q$7),1,0)</f>
        <v>0</v>
      </c>
      <c r="W45">
        <f>IF(Q45&lt;=0,0,IF(S45&lt;$Q$10,T45,IF(S45=$Q$10,$Q$5-1,0)))</f>
        <v>3</v>
      </c>
      <c r="X45">
        <f>IF(Q45&lt;=0,0,IF(S45&lt;=$Q$10,R45,R45+1))</f>
        <v>1</v>
      </c>
      <c r="Y45" t="str">
        <f>IF(V45=1,"",IF(AND(MOD(W45,3)=0,U45=INT(($Q$9-1)/2)),INDEX($B$5:$M$5,W45+1),""))</f>
        <v>Apr</v>
      </c>
      <c r="Z45" s="6">
        <f>0+$Q$20</f>
        <v>0</v>
      </c>
      <c r="AA45">
        <f>IF(OR(X45&lt;0),NA(),(INDEX($B$6:$M$20,($Q$3-1-0)*$Q$4+X45+1,0*$Q$5+W45+1)-0)/$Q$19*$Q$13)</f>
        <v>0.49413200000000002</v>
      </c>
      <c r="AB45" s="6">
        <f>1+$Q$20-(0+$Q$20+_xlfn.AGGREGATE(9,6,AA45:AA45))</f>
        <v>0.50586799999999998</v>
      </c>
      <c r="AC45">
        <f>IF(OR(X45&lt;0),NA(),(INDEX($B$6:$M$20,($Q$3-1-1)*$Q$4+X45+1,0*$Q$5+W45+1)-0)/$Q$19*$Q$13)</f>
        <v>0.36386133333333331</v>
      </c>
      <c r="AD45" s="6">
        <f>2+$Q$20-(1+$Q$20+_xlfn.AGGREGATE(9,6,AC45:AC45))</f>
        <v>0.63613866666666663</v>
      </c>
      <c r="AE45">
        <f>IF(OR(X45&lt;0),NA(),(INDEX($B$6:$M$20,($Q$3-1-2)*$Q$4+X45+1,0*$Q$5+W45+1)-0)/$Q$19*$Q$13)</f>
        <v>0.3320453333333333</v>
      </c>
      <c r="AF45" t="e">
        <f>IF(OR(Q45&lt;=0,S45&gt;=$Q$10),3,NA())</f>
        <v>#N/A</v>
      </c>
      <c r="AN45">
        <v>32.5</v>
      </c>
      <c r="AO45">
        <f>IF(OR($Q$17&gt;0,$Q$18&lt;0),NA(),1+$Q$20)</f>
        <v>1</v>
      </c>
    </row>
    <row r="46" spans="2:45" x14ac:dyDescent="0.35">
      <c r="P46">
        <v>23</v>
      </c>
      <c r="Q46">
        <f>P46-$Q$12</f>
        <v>19</v>
      </c>
      <c r="R46">
        <f>IF(Q46&lt;=0,-1,INT((Q46-1)/($Q$10+$Q$11)))</f>
        <v>1</v>
      </c>
      <c r="S46">
        <f>IF(Q46&lt;=0,-1,MOD(Q46-1,($Q$10+$Q$11)))</f>
        <v>4</v>
      </c>
      <c r="T46">
        <f>IF(OR(S46&lt;0,S46&gt;=$Q$10),-1,INT(S46/$Q$9))</f>
        <v>4</v>
      </c>
      <c r="U46">
        <f>IF(OR(S46&lt;0,S46&gt;=$Q$10),-1,MOD(S46,$Q$9))</f>
        <v>0</v>
      </c>
      <c r="V46">
        <f>IF(OR(Q46&lt;=0,S46&lt;0,S46&gt;=$Q$10,R46&gt;=$Q$7),1,0)</f>
        <v>0</v>
      </c>
      <c r="W46">
        <f>IF(Q46&lt;=0,0,IF(S46&lt;$Q$10,T46,IF(S46=$Q$10,$Q$5-1,0)))</f>
        <v>4</v>
      </c>
      <c r="X46">
        <f>IF(Q46&lt;=0,0,IF(S46&lt;=$Q$10,R46,R46+1))</f>
        <v>1</v>
      </c>
      <c r="Y46" t="str">
        <f>IF(V46=1,"",IF(AND(MOD(W46,3)=0,U46=INT(($Q$9-1)/2)),INDEX($B$5:$M$5,W46+1),""))</f>
        <v/>
      </c>
      <c r="Z46" s="6">
        <f>0+$Q$20</f>
        <v>0</v>
      </c>
      <c r="AA46">
        <f>IF(OR(X46&lt;0),NA(),(INDEX($B$6:$M$20,($Q$3-1-0)*$Q$4+X46+1,0*$Q$5+W46+1)-0)/$Q$19*$Q$13)</f>
        <v>0.43924666666666662</v>
      </c>
      <c r="AB46" s="6">
        <f>1+$Q$20-(0+$Q$20+_xlfn.AGGREGATE(9,6,AA46:AA46))</f>
        <v>0.56075333333333344</v>
      </c>
      <c r="AC46">
        <f>IF(OR(X46&lt;0),NA(),(INDEX($B$6:$M$20,($Q$3-1-1)*$Q$4+X46+1,0*$Q$5+W46+1)-0)/$Q$19*$Q$13)</f>
        <v>0.40589999999999998</v>
      </c>
      <c r="AD46" s="6">
        <f>2+$Q$20-(1+$Q$20+_xlfn.AGGREGATE(9,6,AC46:AC46))</f>
        <v>0.59410000000000007</v>
      </c>
      <c r="AE46">
        <f>IF(OR(X46&lt;0),NA(),(INDEX($B$6:$M$20,($Q$3-1-2)*$Q$4+X46+1,0*$Q$5+W46+1)-0)/$Q$19*$Q$13)</f>
        <v>0.37255333333333329</v>
      </c>
      <c r="AF46" t="e">
        <f>IF(OR(Q46&lt;=0,S46&gt;=$Q$10),3,NA())</f>
        <v>#N/A</v>
      </c>
      <c r="AN46">
        <v>44.5</v>
      </c>
      <c r="AO46">
        <f>IF(OR($Q$17&gt;0,$Q$18&lt;0),NA(),1+$Q$20)</f>
        <v>1</v>
      </c>
    </row>
    <row r="47" spans="2:45" x14ac:dyDescent="0.35">
      <c r="P47">
        <v>24</v>
      </c>
      <c r="Q47">
        <f>P47-$Q$12</f>
        <v>20</v>
      </c>
      <c r="R47">
        <f>IF(Q47&lt;=0,-1,INT((Q47-1)/($Q$10+$Q$11)))</f>
        <v>1</v>
      </c>
      <c r="S47">
        <f>IF(Q47&lt;=0,-1,MOD(Q47-1,($Q$10+$Q$11)))</f>
        <v>5</v>
      </c>
      <c r="T47">
        <f>IF(OR(S47&lt;0,S47&gt;=$Q$10),-1,INT(S47/$Q$9))</f>
        <v>5</v>
      </c>
      <c r="U47">
        <f>IF(OR(S47&lt;0,S47&gt;=$Q$10),-1,MOD(S47,$Q$9))</f>
        <v>0</v>
      </c>
      <c r="V47">
        <f>IF(OR(Q47&lt;=0,S47&lt;0,S47&gt;=$Q$10,R47&gt;=$Q$7),1,0)</f>
        <v>0</v>
      </c>
      <c r="W47">
        <f>IF(Q47&lt;=0,0,IF(S47&lt;$Q$10,T47,IF(S47=$Q$10,$Q$5-1,0)))</f>
        <v>5</v>
      </c>
      <c r="X47">
        <f>IF(Q47&lt;=0,0,IF(S47&lt;=$Q$10,R47,R47+1))</f>
        <v>1</v>
      </c>
      <c r="Y47" t="str">
        <f>IF(V47=1,"",IF(AND(MOD(W47,3)=0,U47=INT(($Q$9-1)/2)),INDEX($B$5:$M$5,W47+1),""))</f>
        <v/>
      </c>
      <c r="Z47" s="6">
        <f>0+$Q$20</f>
        <v>0</v>
      </c>
      <c r="AA47">
        <f>IF(OR(X47&lt;0),NA(),(INDEX($B$6:$M$20,($Q$3-1-0)*$Q$4+X47+1,0*$Q$5+W47+1)-0)/$Q$19*$Q$13)</f>
        <v>0.48276133333333332</v>
      </c>
      <c r="AB47" s="6">
        <f>1+$Q$20-(0+$Q$20+_xlfn.AGGREGATE(9,6,AA47:AA47))</f>
        <v>0.51723866666666662</v>
      </c>
      <c r="AC47">
        <f>IF(OR(X47&lt;0),NA(),(INDEX($B$6:$M$20,($Q$3-1-1)*$Q$4+X47+1,0*$Q$5+W47+1)-0)/$Q$19*$Q$13)</f>
        <v>0.44793866666666665</v>
      </c>
      <c r="AD47" s="6">
        <f>2+$Q$20-(1+$Q$20+_xlfn.AGGREGATE(9,6,AC47:AC47))</f>
        <v>0.55206133333333329</v>
      </c>
      <c r="AE47">
        <f>IF(OR(X47&lt;0),NA(),(INDEX($B$6:$M$20,($Q$3-1-2)*$Q$4+X47+1,0*$Q$5+W47+1)-0)/$Q$19*$Q$13)</f>
        <v>0.31466133333333335</v>
      </c>
      <c r="AF47" t="e">
        <f>IF(OR(Q47&lt;=0,S47&gt;=$Q$10),3,NA())</f>
        <v>#N/A</v>
      </c>
      <c r="AN47">
        <v>44.5</v>
      </c>
      <c r="AO47" t="e">
        <f>NA()</f>
        <v>#N/A</v>
      </c>
    </row>
    <row r="48" spans="2:45" x14ac:dyDescent="0.35">
      <c r="P48">
        <v>25</v>
      </c>
      <c r="Q48">
        <f>P48-$Q$12</f>
        <v>21</v>
      </c>
      <c r="R48">
        <f>IF(Q48&lt;=0,-1,INT((Q48-1)/($Q$10+$Q$11)))</f>
        <v>1</v>
      </c>
      <c r="S48">
        <f>IF(Q48&lt;=0,-1,MOD(Q48-1,($Q$10+$Q$11)))</f>
        <v>6</v>
      </c>
      <c r="T48">
        <f>IF(OR(S48&lt;0,S48&gt;=$Q$10),-1,INT(S48/$Q$9))</f>
        <v>6</v>
      </c>
      <c r="U48">
        <f>IF(OR(S48&lt;0,S48&gt;=$Q$10),-1,MOD(S48,$Q$9))</f>
        <v>0</v>
      </c>
      <c r="V48">
        <f>IF(OR(Q48&lt;=0,S48&lt;0,S48&gt;=$Q$10,R48&gt;=$Q$7),1,0)</f>
        <v>0</v>
      </c>
      <c r="W48">
        <f>IF(Q48&lt;=0,0,IF(S48&lt;$Q$10,T48,IF(S48=$Q$10,$Q$5-1,0)))</f>
        <v>6</v>
      </c>
      <c r="X48">
        <f>IF(Q48&lt;=0,0,IF(S48&lt;=$Q$10,R48,R48+1))</f>
        <v>1</v>
      </c>
      <c r="Y48" t="str">
        <f>IF(V48=1,"",IF(AND(MOD(W48,3)=0,U48=INT(($Q$9-1)/2)),INDEX($B$5:$M$5,W48+1),""))</f>
        <v>Jul</v>
      </c>
      <c r="Z48" s="6">
        <f>0+$Q$20</f>
        <v>0</v>
      </c>
      <c r="AA48">
        <f>IF(OR(X48&lt;0),NA(),(INDEX($B$6:$M$20,($Q$3-1-0)*$Q$4+X48+1,0*$Q$5+W48+1)-0)/$Q$19*$Q$13)</f>
        <v>0.52627599999999997</v>
      </c>
      <c r="AB48" s="6">
        <f>1+$Q$20-(0+$Q$20+_xlfn.AGGREGATE(9,6,AA48:AA48))</f>
        <v>0.47372400000000003</v>
      </c>
      <c r="AC48">
        <f>IF(OR(X48&lt;0),NA(),(INDEX($B$6:$M$20,($Q$3-1-1)*$Q$4+X48+1,0*$Q$5+W48+1)-0)/$Q$19*$Q$13)</f>
        <v>0.39152266666666669</v>
      </c>
      <c r="AD48" s="6">
        <f>2+$Q$20-(1+$Q$20+_xlfn.AGGREGATE(9,6,AC48:AC48))</f>
        <v>0.60847733333333331</v>
      </c>
      <c r="AE48">
        <f>IF(OR(X48&lt;0),NA(),(INDEX($B$6:$M$20,($Q$3-1-2)*$Q$4+X48+1,0*$Q$5+W48+1)-0)/$Q$19*$Q$13)</f>
        <v>0.35522399999999998</v>
      </c>
      <c r="AF48" t="e">
        <f>IF(OR(Q48&lt;=0,S48&gt;=$Q$10),3,NA())</f>
        <v>#N/A</v>
      </c>
      <c r="AN48">
        <v>46.5</v>
      </c>
      <c r="AO48">
        <f>IF(OR($Q$17&gt;0,$Q$18&lt;0),NA(),1+$Q$20)</f>
        <v>1</v>
      </c>
    </row>
    <row r="49" spans="16:41" x14ac:dyDescent="0.35">
      <c r="P49">
        <v>26</v>
      </c>
      <c r="Q49">
        <f>P49-$Q$12</f>
        <v>22</v>
      </c>
      <c r="R49">
        <f>IF(Q49&lt;=0,-1,INT((Q49-1)/($Q$10+$Q$11)))</f>
        <v>1</v>
      </c>
      <c r="S49">
        <f>IF(Q49&lt;=0,-1,MOD(Q49-1,($Q$10+$Q$11)))</f>
        <v>7</v>
      </c>
      <c r="T49">
        <f>IF(OR(S49&lt;0,S49&gt;=$Q$10),-1,INT(S49/$Q$9))</f>
        <v>7</v>
      </c>
      <c r="U49">
        <f>IF(OR(S49&lt;0,S49&gt;=$Q$10),-1,MOD(S49,$Q$9))</f>
        <v>0</v>
      </c>
      <c r="V49">
        <f>IF(OR(Q49&lt;=0,S49&lt;0,S49&gt;=$Q$10,R49&gt;=$Q$7),1,0)</f>
        <v>0</v>
      </c>
      <c r="W49">
        <f>IF(Q49&lt;=0,0,IF(S49&lt;$Q$10,T49,IF(S49=$Q$10,$Q$5-1,0)))</f>
        <v>7</v>
      </c>
      <c r="X49">
        <f>IF(Q49&lt;=0,0,IF(S49&lt;=$Q$10,R49,R49+1))</f>
        <v>1</v>
      </c>
      <c r="Y49" t="str">
        <f>IF(V49=1,"",IF(AND(MOD(W49,3)=0,U49=INT(($Q$9-1)/2)),INDEX($B$5:$M$5,W49+1),""))</f>
        <v/>
      </c>
      <c r="Z49" s="6">
        <f>0+$Q$20</f>
        <v>0</v>
      </c>
      <c r="AA49">
        <f>IF(OR(X49&lt;0),NA(),(INDEX($B$6:$M$20,($Q$3-1-0)*$Q$4+X49+1,0*$Q$5+W49+1)-0)/$Q$19*$Q$13)</f>
        <v>0.47144533333333327</v>
      </c>
      <c r="AB49" s="6">
        <f>1+$Q$20-(0+$Q$20+_xlfn.AGGREGATE(9,6,AA49:AA49))</f>
        <v>0.52855466666666673</v>
      </c>
      <c r="AC49">
        <f>IF(OR(X49&lt;0),NA(),(INDEX($B$6:$M$20,($Q$3-1-1)*$Q$4+X49+1,0*$Q$5+W49+1)-0)/$Q$19*$Q$13)</f>
        <v>0.43356133333333335</v>
      </c>
      <c r="AD49" s="6">
        <f>2+$Q$20-(1+$Q$20+_xlfn.AGGREGATE(9,6,AC49:AC49))</f>
        <v>0.56643866666666653</v>
      </c>
      <c r="AE49">
        <f>IF(OR(X49&lt;0),NA(),(INDEX($B$6:$M$20,($Q$3-1-2)*$Q$4+X49+1,0*$Q$5+W49+1)-0)/$Q$19*$Q$13)</f>
        <v>0.39573199999999997</v>
      </c>
      <c r="AF49" t="e">
        <f>IF(OR(Q49&lt;=0,S49&gt;=$Q$10),3,NA())</f>
        <v>#N/A</v>
      </c>
      <c r="AN49">
        <v>58.5</v>
      </c>
      <c r="AO49">
        <f>IF(OR($Q$17&gt;0,$Q$18&lt;0),NA(),1+$Q$20)</f>
        <v>1</v>
      </c>
    </row>
    <row r="50" spans="16:41" x14ac:dyDescent="0.35">
      <c r="P50">
        <v>27</v>
      </c>
      <c r="Q50">
        <f>P50-$Q$12</f>
        <v>23</v>
      </c>
      <c r="R50">
        <f>IF(Q50&lt;=0,-1,INT((Q50-1)/($Q$10+$Q$11)))</f>
        <v>1</v>
      </c>
      <c r="S50">
        <f>IF(Q50&lt;=0,-1,MOD(Q50-1,($Q$10+$Q$11)))</f>
        <v>8</v>
      </c>
      <c r="T50">
        <f>IF(OR(S50&lt;0,S50&gt;=$Q$10),-1,INT(S50/$Q$9))</f>
        <v>8</v>
      </c>
      <c r="U50">
        <f>IF(OR(S50&lt;0,S50&gt;=$Q$10),-1,MOD(S50,$Q$9))</f>
        <v>0</v>
      </c>
      <c r="V50">
        <f>IF(OR(Q50&lt;=0,S50&lt;0,S50&gt;=$Q$10,R50&gt;=$Q$7),1,0)</f>
        <v>0</v>
      </c>
      <c r="W50">
        <f>IF(Q50&lt;=0,0,IF(S50&lt;$Q$10,T50,IF(S50=$Q$10,$Q$5-1,0)))</f>
        <v>8</v>
      </c>
      <c r="X50">
        <f>IF(Q50&lt;=0,0,IF(S50&lt;=$Q$10,R50,R50+1))</f>
        <v>1</v>
      </c>
      <c r="Y50" t="str">
        <f>IF(V50=1,"",IF(AND(MOD(W50,3)=0,U50=INT(($Q$9-1)/2)),INDEX($B$5:$M$5,W50+1),""))</f>
        <v/>
      </c>
      <c r="Z50" s="6">
        <f>0+$Q$20</f>
        <v>0</v>
      </c>
      <c r="AA50">
        <f>IF(OR(X50&lt;0),NA(),(INDEX($B$6:$M$20,($Q$3-1-0)*$Q$4+X50+1,0*$Q$5+W50+1)-0)/$Q$19*$Q$13)</f>
        <v>0.51495999999999997</v>
      </c>
      <c r="AB50" s="6">
        <f>1+$Q$20-(0+$Q$20+_xlfn.AGGREGATE(9,6,AA50:AA50))</f>
        <v>0.48504000000000003</v>
      </c>
      <c r="AC50">
        <f>IF(OR(X50&lt;0),NA(),(INDEX($B$6:$M$20,($Q$3-1-1)*$Q$4+X50+1,0*$Q$5+W50+1)-0)/$Q$19*$Q$13)</f>
        <v>0.47559999999999991</v>
      </c>
      <c r="AD50" s="6">
        <f>2+$Q$20-(1+$Q$20+_xlfn.AGGREGATE(9,6,AC50:AC50))</f>
        <v>0.52439999999999998</v>
      </c>
      <c r="AE50">
        <f>IF(OR(X50&lt;0),NA(),(INDEX($B$6:$M$20,($Q$3-1-2)*$Q$4+X50+1,0*$Q$5+W50+1)-0)/$Q$19*$Q$13)</f>
        <v>0.33783999999999997</v>
      </c>
      <c r="AF50" t="e">
        <f>IF(OR(Q50&lt;=0,S50&gt;=$Q$10),3,NA())</f>
        <v>#N/A</v>
      </c>
      <c r="AN50">
        <v>58.5</v>
      </c>
      <c r="AO50" t="e">
        <f>NA()</f>
        <v>#N/A</v>
      </c>
    </row>
    <row r="51" spans="16:41" x14ac:dyDescent="0.35">
      <c r="P51">
        <v>28</v>
      </c>
      <c r="Q51">
        <f>P51-$Q$12</f>
        <v>24</v>
      </c>
      <c r="R51">
        <f>IF(Q51&lt;=0,-1,INT((Q51-1)/($Q$10+$Q$11)))</f>
        <v>1</v>
      </c>
      <c r="S51">
        <f>IF(Q51&lt;=0,-1,MOD(Q51-1,($Q$10+$Q$11)))</f>
        <v>9</v>
      </c>
      <c r="T51">
        <f>IF(OR(S51&lt;0,S51&gt;=$Q$10),-1,INT(S51/$Q$9))</f>
        <v>9</v>
      </c>
      <c r="U51">
        <f>IF(OR(S51&lt;0,S51&gt;=$Q$10),-1,MOD(S51,$Q$9))</f>
        <v>0</v>
      </c>
      <c r="V51">
        <f>IF(OR(Q51&lt;=0,S51&lt;0,S51&gt;=$Q$10,R51&gt;=$Q$7),1,0)</f>
        <v>0</v>
      </c>
      <c r="W51">
        <f>IF(Q51&lt;=0,0,IF(S51&lt;$Q$10,T51,IF(S51=$Q$10,$Q$5-1,0)))</f>
        <v>9</v>
      </c>
      <c r="X51">
        <f>IF(Q51&lt;=0,0,IF(S51&lt;=$Q$10,R51,R51+1))</f>
        <v>1</v>
      </c>
      <c r="Y51" t="str">
        <f>IF(V51=1,"",IF(AND(MOD(W51,3)=0,U51=INT(($Q$9-1)/2)),INDEX($B$5:$M$5,W51+1),""))</f>
        <v>Oct</v>
      </c>
      <c r="Z51" s="6">
        <f>0+$Q$20</f>
        <v>0</v>
      </c>
      <c r="AA51">
        <f>IF(OR(X51&lt;0),NA(),(INDEX($B$6:$M$20,($Q$3-1-0)*$Q$4+X51+1,0*$Q$5+W51+1)-0)/$Q$19*$Q$13)</f>
        <v>0.55847466666666667</v>
      </c>
      <c r="AB51" s="6">
        <f>1+$Q$20-(0+$Q$20+_xlfn.AGGREGATE(9,6,AA51:AA51))</f>
        <v>0.44152533333333333</v>
      </c>
      <c r="AC51">
        <f>IF(OR(X51&lt;0),NA(),(INDEX($B$6:$M$20,($Q$3-1-1)*$Q$4+X51+1,0*$Q$5+W51+1)-0)/$Q$19*$Q$13)</f>
        <v>0.41923866666666665</v>
      </c>
      <c r="AD51" s="6">
        <f>2+$Q$20-(1+$Q$20+_xlfn.AGGREGATE(9,6,AC51:AC51))</f>
        <v>0.58076133333333324</v>
      </c>
      <c r="AE51">
        <f>IF(OR(X51&lt;0),NA(),(INDEX($B$6:$M$20,($Q$3-1-2)*$Q$4+X51+1,0*$Q$5+W51+1)-0)/$Q$19*$Q$13)</f>
        <v>0.37834800000000002</v>
      </c>
      <c r="AF51" t="e">
        <f>IF(OR(Q51&lt;=0,S51&gt;=$Q$10),3,NA())</f>
        <v>#N/A</v>
      </c>
      <c r="AN51">
        <v>60.5</v>
      </c>
      <c r="AO51">
        <f>IF(OR($Q$17&gt;0,$Q$18&lt;0),NA(),1+$Q$20)</f>
        <v>1</v>
      </c>
    </row>
    <row r="52" spans="16:41" x14ac:dyDescent="0.35">
      <c r="P52">
        <v>29</v>
      </c>
      <c r="Q52">
        <f>P52-$Q$12</f>
        <v>25</v>
      </c>
      <c r="R52">
        <f>IF(Q52&lt;=0,-1,INT((Q52-1)/($Q$10+$Q$11)))</f>
        <v>1</v>
      </c>
      <c r="S52">
        <f>IF(Q52&lt;=0,-1,MOD(Q52-1,($Q$10+$Q$11)))</f>
        <v>10</v>
      </c>
      <c r="T52">
        <f>IF(OR(S52&lt;0,S52&gt;=$Q$10),-1,INT(S52/$Q$9))</f>
        <v>10</v>
      </c>
      <c r="U52">
        <f>IF(OR(S52&lt;0,S52&gt;=$Q$10),-1,MOD(S52,$Q$9))</f>
        <v>0</v>
      </c>
      <c r="V52">
        <f>IF(OR(Q52&lt;=0,S52&lt;0,S52&gt;=$Q$10,R52&gt;=$Q$7),1,0)</f>
        <v>0</v>
      </c>
      <c r="W52">
        <f>IF(Q52&lt;=0,0,IF(S52&lt;$Q$10,T52,IF(S52=$Q$10,$Q$5-1,0)))</f>
        <v>10</v>
      </c>
      <c r="X52">
        <f>IF(Q52&lt;=0,0,IF(S52&lt;=$Q$10,R52,R52+1))</f>
        <v>1</v>
      </c>
      <c r="Y52" t="str">
        <f>IF(V52=1,"",IF(AND(MOD(W52,3)=0,U52=INT(($Q$9-1)/2)),INDEX($B$5:$M$5,W52+1),""))</f>
        <v/>
      </c>
      <c r="Z52" s="6">
        <f>0+$Q$20</f>
        <v>0</v>
      </c>
      <c r="AA52">
        <f>IF(OR(X52&lt;0),NA(),(INDEX($B$6:$M$20,($Q$3-1-0)*$Q$4+X52+1,0*$Q$5+W52+1)-0)/$Q$19*$Q$13)</f>
        <v>0.50358933333333333</v>
      </c>
      <c r="AB52" s="6">
        <f>1+$Q$20-(0+$Q$20+_xlfn.AGGREGATE(9,6,AA52:AA52))</f>
        <v>0.49641066666666667</v>
      </c>
      <c r="AC52">
        <f>IF(OR(X52&lt;0),NA(),(INDEX($B$6:$M$20,($Q$3-1-1)*$Q$4+X52+1,0*$Q$5+W52+1)-0)/$Q$19*$Q$13)</f>
        <v>0.46127733333333332</v>
      </c>
      <c r="AD52" s="6">
        <f>2+$Q$20-(1+$Q$20+_xlfn.AGGREGATE(9,6,AC52:AC52))</f>
        <v>0.53872266666666668</v>
      </c>
      <c r="AE52">
        <f>IF(OR(X52&lt;0),NA(),(INDEX($B$6:$M$20,($Q$3-1-2)*$Q$4+X52+1,0*$Q$5+W52+1)-0)/$Q$19*$Q$13)</f>
        <v>0.41885600000000001</v>
      </c>
      <c r="AF52" t="e">
        <f>IF(OR(Q52&lt;=0,S52&gt;=$Q$10),3,NA())</f>
        <v>#N/A</v>
      </c>
      <c r="AN52">
        <v>72.5</v>
      </c>
      <c r="AO52">
        <f>IF(OR($Q$17&gt;0,$Q$18&lt;0),NA(),1+$Q$20)</f>
        <v>1</v>
      </c>
    </row>
    <row r="53" spans="16:41" x14ac:dyDescent="0.35">
      <c r="P53">
        <v>30</v>
      </c>
      <c r="Q53">
        <f>P53-$Q$12</f>
        <v>26</v>
      </c>
      <c r="R53">
        <f>IF(Q53&lt;=0,-1,INT((Q53-1)/($Q$10+$Q$11)))</f>
        <v>1</v>
      </c>
      <c r="S53">
        <f>IF(Q53&lt;=0,-1,MOD(Q53-1,($Q$10+$Q$11)))</f>
        <v>11</v>
      </c>
      <c r="T53">
        <f>IF(OR(S53&lt;0,S53&gt;=$Q$10),-1,INT(S53/$Q$9))</f>
        <v>11</v>
      </c>
      <c r="U53">
        <f>IF(OR(S53&lt;0,S53&gt;=$Q$10),-1,MOD(S53,$Q$9))</f>
        <v>0</v>
      </c>
      <c r="V53">
        <f>IF(OR(Q53&lt;=0,S53&lt;0,S53&gt;=$Q$10,R53&gt;=$Q$7),1,0)</f>
        <v>0</v>
      </c>
      <c r="W53">
        <f>IF(Q53&lt;=0,0,IF(S53&lt;$Q$10,T53,IF(S53=$Q$10,$Q$5-1,0)))</f>
        <v>11</v>
      </c>
      <c r="X53">
        <f>IF(Q53&lt;=0,0,IF(S53&lt;=$Q$10,R53,R53+1))</f>
        <v>1</v>
      </c>
      <c r="Y53" t="str">
        <f>IF(V53=1,"",IF(AND(MOD(W53,3)=0,U53=INT(($Q$9-1)/2)),INDEX($B$5:$M$5,W53+1),""))</f>
        <v/>
      </c>
      <c r="Z53" s="6">
        <f>0+$Q$20</f>
        <v>0</v>
      </c>
      <c r="AA53">
        <f>IF(OR(X53&lt;0),NA(),(INDEX($B$6:$M$20,($Q$3-1-0)*$Q$4+X53+1,0*$Q$5+W53+1)-0)/$Q$19*$Q$13)</f>
        <v>0.54715866666666668</v>
      </c>
      <c r="AB53" s="6">
        <f>1+$Q$20-(0+$Q$20+_xlfn.AGGREGATE(9,6,AA53:AA53))</f>
        <v>0.45284133333333332</v>
      </c>
      <c r="AC53">
        <f>IF(OR(X53&lt;0),NA(),(INDEX($B$6:$M$20,($Q$3-1-1)*$Q$4+X53+1,0*$Q$5+W53+1)-0)/$Q$19*$Q$13)</f>
        <v>0.50326133333333334</v>
      </c>
      <c r="AD53" s="6">
        <f>2+$Q$20-(1+$Q$20+_xlfn.AGGREGATE(9,6,AC53:AC53))</f>
        <v>0.49673866666666666</v>
      </c>
      <c r="AE53">
        <f>IF(OR(X53&lt;0),NA(),(INDEX($B$6:$M$20,($Q$3-1-2)*$Q$4+X53+1,0*$Q$5+W53+1)-0)/$Q$19*$Q$13)</f>
        <v>0.3610186666666666</v>
      </c>
      <c r="AF53" t="e">
        <f>IF(OR(Q53&lt;=0,S53&gt;=$Q$10),3,NA())</f>
        <v>#N/A</v>
      </c>
      <c r="AN53">
        <v>72.5</v>
      </c>
      <c r="AO53" t="e">
        <f>NA()</f>
        <v>#N/A</v>
      </c>
    </row>
    <row r="54" spans="16:41" x14ac:dyDescent="0.35">
      <c r="P54">
        <v>31</v>
      </c>
      <c r="Q54">
        <f>P54-$Q$12</f>
        <v>27</v>
      </c>
      <c r="R54">
        <f>IF(Q54&lt;=0,-1,INT((Q54-1)/($Q$10+$Q$11)))</f>
        <v>1</v>
      </c>
      <c r="S54">
        <f>IF(Q54&lt;=0,-1,MOD(Q54-1,($Q$10+$Q$11)))</f>
        <v>12</v>
      </c>
      <c r="T54">
        <f>IF(OR(S54&lt;0,S54&gt;=$Q$10),-1,INT(S54/$Q$9))</f>
        <v>-1</v>
      </c>
      <c r="U54">
        <f>IF(OR(S54&lt;0,S54&gt;=$Q$10),-1,MOD(S54,$Q$9))</f>
        <v>-1</v>
      </c>
      <c r="V54">
        <f>IF(OR(Q54&lt;=0,S54&lt;0,S54&gt;=$Q$10,R54&gt;=$Q$7),1,0)</f>
        <v>1</v>
      </c>
      <c r="W54">
        <f>IF(Q54&lt;=0,0,IF(S54&lt;$Q$10,T54,IF(S54=$Q$10,$Q$5-1,0)))</f>
        <v>11</v>
      </c>
      <c r="X54">
        <f>IF(Q54&lt;=0,0,IF(S54&lt;=$Q$10,R54,R54+1))</f>
        <v>1</v>
      </c>
      <c r="Y54" t="str">
        <f>IF(V54=1,"",IF(AND(MOD(W54,3)=0,U54=INT(($Q$9-1)/2)),INDEX($B$5:$M$5,W54+1),""))</f>
        <v/>
      </c>
      <c r="Z54" s="6">
        <f>0+$Q$20</f>
        <v>0</v>
      </c>
      <c r="AA54">
        <f>IF(OR(X54&lt;0),NA(),(INDEX($B$6:$M$20,($Q$3-1-0)*$Q$4+X54+1,0*$Q$5+W54+1)-0)/$Q$19*$Q$13)</f>
        <v>0.54715866666666668</v>
      </c>
      <c r="AB54" s="6">
        <f>1+$Q$20-(0+$Q$20+_xlfn.AGGREGATE(9,6,AA54:AA54))</f>
        <v>0.45284133333333332</v>
      </c>
      <c r="AC54">
        <f>IF(OR(X54&lt;0),NA(),(INDEX($B$6:$M$20,($Q$3-1-1)*$Q$4+X54+1,0*$Q$5+W54+1)-0)/$Q$19*$Q$13)</f>
        <v>0.50326133333333334</v>
      </c>
      <c r="AD54" s="6">
        <f>2+$Q$20-(1+$Q$20+_xlfn.AGGREGATE(9,6,AC54:AC54))</f>
        <v>0.49673866666666666</v>
      </c>
      <c r="AE54">
        <f>IF(OR(X54&lt;0),NA(),(INDEX($B$6:$M$20,($Q$3-1-2)*$Q$4+X54+1,0*$Q$5+W54+1)-0)/$Q$19*$Q$13)</f>
        <v>0.3610186666666666</v>
      </c>
      <c r="AF54">
        <f>IF(OR(Q54&lt;=0,S54&gt;=$Q$10),3,NA())</f>
        <v>3</v>
      </c>
      <c r="AN54">
        <v>4.5</v>
      </c>
      <c r="AO54">
        <f>IF(OR($Q$17&gt;0,$Q$18&lt;0),NA(),2+$Q$20)</f>
        <v>2</v>
      </c>
    </row>
    <row r="55" spans="16:41" x14ac:dyDescent="0.35">
      <c r="P55">
        <v>32</v>
      </c>
      <c r="Q55">
        <f>P55-$Q$12</f>
        <v>28</v>
      </c>
      <c r="R55">
        <f>IF(Q55&lt;=0,-1,INT((Q55-1)/($Q$10+$Q$11)))</f>
        <v>1</v>
      </c>
      <c r="S55">
        <f>IF(Q55&lt;=0,-1,MOD(Q55-1,($Q$10+$Q$11)))</f>
        <v>13</v>
      </c>
      <c r="T55">
        <f>IF(OR(S55&lt;0,S55&gt;=$Q$10),-1,INT(S55/$Q$9))</f>
        <v>-1</v>
      </c>
      <c r="U55">
        <f>IF(OR(S55&lt;0,S55&gt;=$Q$10),-1,MOD(S55,$Q$9))</f>
        <v>-1</v>
      </c>
      <c r="V55">
        <f>IF(OR(Q55&lt;=0,S55&lt;0,S55&gt;=$Q$10,R55&gt;=$Q$7),1,0)</f>
        <v>1</v>
      </c>
      <c r="W55">
        <f>IF(Q55&lt;=0,0,IF(S55&lt;$Q$10,T55,IF(S55=$Q$10,$Q$5-1,0)))</f>
        <v>0</v>
      </c>
      <c r="X55">
        <f>IF(Q55&lt;=0,0,IF(S55&lt;=$Q$10,R55,R55+1))</f>
        <v>2</v>
      </c>
      <c r="Y55" t="str">
        <f>IF(V55=1,"",IF(AND(MOD(W55,3)=0,U55=INT(($Q$9-1)/2)),INDEX($B$5:$M$5,W55+1),""))</f>
        <v/>
      </c>
      <c r="Z55" s="6">
        <f>0+$Q$20</f>
        <v>0</v>
      </c>
      <c r="AA55">
        <f>IF(OR(X55&lt;0),NA(),(INDEX($B$6:$M$20,($Q$3-1-0)*$Q$4+X55+1,0*$Q$5+W55+1)-0)/$Q$19*$Q$13)</f>
        <v>0.27606666666666663</v>
      </c>
      <c r="AB55" s="6">
        <f>1+$Q$20-(0+$Q$20+_xlfn.AGGREGATE(9,6,AA55:AA55))</f>
        <v>0.72393333333333332</v>
      </c>
      <c r="AC55">
        <f>IF(OR(X55&lt;0),NA(),(INDEX($B$6:$M$20,($Q$3-1-1)*$Q$4+X55+1,0*$Q$5+W55+1)-0)/$Q$19*$Q$13)</f>
        <v>0.24873333333333333</v>
      </c>
      <c r="AD55" s="6">
        <f>2+$Q$20-(1+$Q$20+_xlfn.AGGREGATE(9,6,AC55:AC55))</f>
        <v>0.75126666666666675</v>
      </c>
      <c r="AE55">
        <f>IF(OR(X55&lt;0),NA(),(INDEX($B$6:$M$20,($Q$3-1-2)*$Q$4+X55+1,0*$Q$5+W55+1)-0)/$Q$19*$Q$13)</f>
        <v>0.55213333333333325</v>
      </c>
      <c r="AF55">
        <f>IF(OR(Q55&lt;=0,S55&gt;=$Q$10),3,NA())</f>
        <v>3</v>
      </c>
      <c r="AN55">
        <v>16.5</v>
      </c>
      <c r="AO55">
        <f>IF(OR($Q$17&gt;0,$Q$18&lt;0),NA(),2+$Q$20)</f>
        <v>2</v>
      </c>
    </row>
    <row r="56" spans="16:41" x14ac:dyDescent="0.35">
      <c r="P56">
        <v>33</v>
      </c>
      <c r="Q56">
        <f>P56-$Q$12</f>
        <v>29</v>
      </c>
      <c r="R56">
        <f>IF(Q56&lt;=0,-1,INT((Q56-1)/($Q$10+$Q$11)))</f>
        <v>2</v>
      </c>
      <c r="S56">
        <f>IF(Q56&lt;=0,-1,MOD(Q56-1,($Q$10+$Q$11)))</f>
        <v>0</v>
      </c>
      <c r="T56">
        <f>IF(OR(S56&lt;0,S56&gt;=$Q$10),-1,INT(S56/$Q$9))</f>
        <v>0</v>
      </c>
      <c r="U56">
        <f>IF(OR(S56&lt;0,S56&gt;=$Q$10),-1,MOD(S56,$Q$9))</f>
        <v>0</v>
      </c>
      <c r="V56">
        <f>IF(OR(Q56&lt;=0,S56&lt;0,S56&gt;=$Q$10,R56&gt;=$Q$7),1,0)</f>
        <v>0</v>
      </c>
      <c r="W56">
        <f>IF(Q56&lt;=0,0,IF(S56&lt;$Q$10,T56,IF(S56=$Q$10,$Q$5-1,0)))</f>
        <v>0</v>
      </c>
      <c r="X56">
        <f>IF(Q56&lt;=0,0,IF(S56&lt;=$Q$10,R56,R56+1))</f>
        <v>2</v>
      </c>
      <c r="Y56" t="str">
        <f>IF(V56=1,"",IF(AND(MOD(W56,3)=0,U56=INT(($Q$9-1)/2)),INDEX($B$5:$M$5,W56+1),""))</f>
        <v>Jan</v>
      </c>
      <c r="Z56" s="6">
        <f>0+$Q$20</f>
        <v>0</v>
      </c>
      <c r="AA56">
        <f>IF(OR(X56&lt;0),NA(),(INDEX($B$6:$M$20,($Q$3-1-0)*$Q$4+X56+1,0*$Q$5+W56+1)-0)/$Q$19*$Q$13)</f>
        <v>0.27606666666666663</v>
      </c>
      <c r="AB56" s="6">
        <f>1+$Q$20-(0+$Q$20+_xlfn.AGGREGATE(9,6,AA56:AA56))</f>
        <v>0.72393333333333332</v>
      </c>
      <c r="AC56">
        <f>IF(OR(X56&lt;0),NA(),(INDEX($B$6:$M$20,($Q$3-1-1)*$Q$4+X56+1,0*$Q$5+W56+1)-0)/$Q$19*$Q$13)</f>
        <v>0.24873333333333333</v>
      </c>
      <c r="AD56" s="6">
        <f>2+$Q$20-(1+$Q$20+_xlfn.AGGREGATE(9,6,AC56:AC56))</f>
        <v>0.75126666666666675</v>
      </c>
      <c r="AE56">
        <f>IF(OR(X56&lt;0),NA(),(INDEX($B$6:$M$20,($Q$3-1-2)*$Q$4+X56+1,0*$Q$5+W56+1)-0)/$Q$19*$Q$13)</f>
        <v>0.55213333333333325</v>
      </c>
      <c r="AF56" t="e">
        <f>IF(OR(Q56&lt;=0,S56&gt;=$Q$10),3,NA())</f>
        <v>#N/A</v>
      </c>
      <c r="AN56">
        <v>16.5</v>
      </c>
      <c r="AO56" t="e">
        <f>NA()</f>
        <v>#N/A</v>
      </c>
    </row>
    <row r="57" spans="16:41" x14ac:dyDescent="0.35">
      <c r="P57">
        <v>34</v>
      </c>
      <c r="Q57">
        <f>P57-$Q$12</f>
        <v>30</v>
      </c>
      <c r="R57">
        <f>IF(Q57&lt;=0,-1,INT((Q57-1)/($Q$10+$Q$11)))</f>
        <v>2</v>
      </c>
      <c r="S57">
        <f>IF(Q57&lt;=0,-1,MOD(Q57-1,($Q$10+$Q$11)))</f>
        <v>1</v>
      </c>
      <c r="T57">
        <f>IF(OR(S57&lt;0,S57&gt;=$Q$10),-1,INT(S57/$Q$9))</f>
        <v>1</v>
      </c>
      <c r="U57">
        <f>IF(OR(S57&lt;0,S57&gt;=$Q$10),-1,MOD(S57,$Q$9))</f>
        <v>0</v>
      </c>
      <c r="V57">
        <f>IF(OR(Q57&lt;=0,S57&lt;0,S57&gt;=$Q$10,R57&gt;=$Q$7),1,0)</f>
        <v>0</v>
      </c>
      <c r="W57">
        <f>IF(Q57&lt;=0,0,IF(S57&lt;$Q$10,T57,IF(S57=$Q$10,$Q$5-1,0)))</f>
        <v>1</v>
      </c>
      <c r="X57">
        <f>IF(Q57&lt;=0,0,IF(S57&lt;=$Q$10,R57,R57+1))</f>
        <v>2</v>
      </c>
      <c r="Y57" t="str">
        <f>IF(V57=1,"",IF(AND(MOD(W57,3)=0,U57=INT(($Q$9-1)/2)),INDEX($B$5:$M$5,W57+1),""))</f>
        <v/>
      </c>
      <c r="Z57" s="6">
        <f>0+$Q$20</f>
        <v>0</v>
      </c>
      <c r="AA57">
        <f>IF(OR(X57&lt;0),NA(),(INDEX($B$6:$M$20,($Q$3-1-0)*$Q$4+X57+1,0*$Q$5+W57+1)-0)/$Q$19*$Q$13)</f>
        <v>0.31657466666666667</v>
      </c>
      <c r="AB57" s="6">
        <f>1+$Q$20-(0+$Q$20+_xlfn.AGGREGATE(9,6,AA57:AA57))</f>
        <v>0.68342533333333333</v>
      </c>
      <c r="AC57">
        <f>IF(OR(X57&lt;0),NA(),(INDEX($B$6:$M$20,($Q$3-1-1)*$Q$4+X57+1,0*$Q$5+W57+1)-0)/$Q$19*$Q$13)</f>
        <v>0.28776533333333332</v>
      </c>
      <c r="AD57" s="6">
        <f>2+$Q$20-(1+$Q$20+_xlfn.AGGREGATE(9,6,AC57:AC57))</f>
        <v>0.71223466666666679</v>
      </c>
      <c r="AE57">
        <f>IF(OR(X57&lt;0),NA(),(INDEX($B$6:$M$20,($Q$3-1-2)*$Q$4+X57+1,0*$Q$5+W57+1)-0)/$Q$19*$Q$13)</f>
        <v>0.4994893333333334</v>
      </c>
      <c r="AF57" t="e">
        <f>IF(OR(Q57&lt;=0,S57&gt;=$Q$10),3,NA())</f>
        <v>#N/A</v>
      </c>
      <c r="AN57">
        <v>18.5</v>
      </c>
      <c r="AO57">
        <f>IF(OR($Q$17&gt;0,$Q$18&lt;0),NA(),2+$Q$20)</f>
        <v>2</v>
      </c>
    </row>
    <row r="58" spans="16:41" x14ac:dyDescent="0.35">
      <c r="P58">
        <v>35</v>
      </c>
      <c r="Q58">
        <f>P58-$Q$12</f>
        <v>31</v>
      </c>
      <c r="R58">
        <f>IF(Q58&lt;=0,-1,INT((Q58-1)/($Q$10+$Q$11)))</f>
        <v>2</v>
      </c>
      <c r="S58">
        <f>IF(Q58&lt;=0,-1,MOD(Q58-1,($Q$10+$Q$11)))</f>
        <v>2</v>
      </c>
      <c r="T58">
        <f>IF(OR(S58&lt;0,S58&gt;=$Q$10),-1,INT(S58/$Q$9))</f>
        <v>2</v>
      </c>
      <c r="U58">
        <f>IF(OR(S58&lt;0,S58&gt;=$Q$10),-1,MOD(S58,$Q$9))</f>
        <v>0</v>
      </c>
      <c r="V58">
        <f>IF(OR(Q58&lt;=0,S58&lt;0,S58&gt;=$Q$10,R58&gt;=$Q$7),1,0)</f>
        <v>0</v>
      </c>
      <c r="W58">
        <f>IF(Q58&lt;=0,0,IF(S58&lt;$Q$10,T58,IF(S58=$Q$10,$Q$5-1,0)))</f>
        <v>2</v>
      </c>
      <c r="X58">
        <f>IF(Q58&lt;=0,0,IF(S58&lt;=$Q$10,R58,R58+1))</f>
        <v>2</v>
      </c>
      <c r="Y58" t="str">
        <f>IF(V58=1,"",IF(AND(MOD(W58,3)=0,U58=INT(($Q$9-1)/2)),INDEX($B$5:$M$5,W58+1),""))</f>
        <v/>
      </c>
      <c r="Z58" s="6">
        <f>0+$Q$20</f>
        <v>0</v>
      </c>
      <c r="AA58">
        <f>IF(OR(X58&lt;0),NA(),(INDEX($B$6:$M$20,($Q$3-1-0)*$Q$4+X58+1,0*$Q$5+W58+1)-0)/$Q$19*$Q$13)</f>
        <v>0.35708266666666671</v>
      </c>
      <c r="AB58" s="6">
        <f>1+$Q$20-(0+$Q$20+_xlfn.AGGREGATE(9,6,AA58:AA58))</f>
        <v>0.64291733333333334</v>
      </c>
      <c r="AC58">
        <f>IF(OR(X58&lt;0),NA(),(INDEX($B$6:$M$20,($Q$3-1-1)*$Q$4+X58+1,0*$Q$5+W58+1)-0)/$Q$19*$Q$13)</f>
        <v>0.22839733333333334</v>
      </c>
      <c r="AD58" s="6">
        <f>2+$Q$20-(1+$Q$20+_xlfn.AGGREGATE(9,6,AC58:AC58))</f>
        <v>0.77160266666666666</v>
      </c>
      <c r="AE58">
        <f>IF(OR(X58&lt;0),NA(),(INDEX($B$6:$M$20,($Q$3-1-2)*$Q$4+X58+1,0*$Q$5+W58+1)-0)/$Q$19*$Q$13)</f>
        <v>0.54530000000000001</v>
      </c>
      <c r="AF58" t="e">
        <f>IF(OR(Q58&lt;=0,S58&gt;=$Q$10),3,NA())</f>
        <v>#N/A</v>
      </c>
      <c r="AN58">
        <v>30.5</v>
      </c>
      <c r="AO58">
        <f>IF(OR($Q$17&gt;0,$Q$18&lt;0),NA(),2+$Q$20)</f>
        <v>2</v>
      </c>
    </row>
    <row r="59" spans="16:41" x14ac:dyDescent="0.35">
      <c r="P59">
        <v>36</v>
      </c>
      <c r="Q59">
        <f>P59-$Q$12</f>
        <v>32</v>
      </c>
      <c r="R59">
        <f>IF(Q59&lt;=0,-1,INT((Q59-1)/($Q$10+$Q$11)))</f>
        <v>2</v>
      </c>
      <c r="S59">
        <f>IF(Q59&lt;=0,-1,MOD(Q59-1,($Q$10+$Q$11)))</f>
        <v>3</v>
      </c>
      <c r="T59">
        <f>IF(OR(S59&lt;0,S59&gt;=$Q$10),-1,INT(S59/$Q$9))</f>
        <v>3</v>
      </c>
      <c r="U59">
        <f>IF(OR(S59&lt;0,S59&gt;=$Q$10),-1,MOD(S59,$Q$9))</f>
        <v>0</v>
      </c>
      <c r="V59">
        <f>IF(OR(Q59&lt;=0,S59&lt;0,S59&gt;=$Q$10,R59&gt;=$Q$7),1,0)</f>
        <v>0</v>
      </c>
      <c r="W59">
        <f>IF(Q59&lt;=0,0,IF(S59&lt;$Q$10,T59,IF(S59=$Q$10,$Q$5-1,0)))</f>
        <v>3</v>
      </c>
      <c r="X59">
        <f>IF(Q59&lt;=0,0,IF(S59&lt;=$Q$10,R59,R59+1))</f>
        <v>2</v>
      </c>
      <c r="Y59" t="str">
        <f>IF(V59=1,"",IF(AND(MOD(W59,3)=0,U59=INT(($Q$9-1)/2)),INDEX($B$5:$M$5,W59+1),""))</f>
        <v>Apr</v>
      </c>
      <c r="Z59" s="6">
        <f>0+$Q$20</f>
        <v>0</v>
      </c>
      <c r="AA59">
        <f>IF(OR(X59&lt;0),NA(),(INDEX($B$6:$M$20,($Q$3-1-0)*$Q$4+X59+1,0*$Q$5+W59+1)-0)/$Q$19*$Q$13)</f>
        <v>0.29924533333333331</v>
      </c>
      <c r="AB59" s="6">
        <f>1+$Q$20-(0+$Q$20+_xlfn.AGGREGATE(9,6,AA59:AA59))</f>
        <v>0.70075466666666664</v>
      </c>
      <c r="AC59">
        <f>IF(OR(X59&lt;0),NA(),(INDEX($B$6:$M$20,($Q$3-1-1)*$Q$4+X59+1,0*$Q$5+W59+1)-0)/$Q$19*$Q$13)</f>
        <v>0.26737466666666665</v>
      </c>
      <c r="AD59" s="6">
        <f>2+$Q$20-(1+$Q$20+_xlfn.AGGREGATE(9,6,AC59:AC59))</f>
        <v>0.73262533333333346</v>
      </c>
      <c r="AE59">
        <f>IF(OR(X59&lt;0),NA(),(INDEX($B$6:$M$20,($Q$3-1-2)*$Q$4+X59+1,0*$Q$5+W59+1)-0)/$Q$19*$Q$13)</f>
        <v>0.59105599999999991</v>
      </c>
      <c r="AF59" t="e">
        <f>IF(OR(Q59&lt;=0,S59&gt;=$Q$10),3,NA())</f>
        <v>#N/A</v>
      </c>
      <c r="AN59">
        <v>30.5</v>
      </c>
      <c r="AO59" t="e">
        <f>NA()</f>
        <v>#N/A</v>
      </c>
    </row>
    <row r="60" spans="16:41" x14ac:dyDescent="0.35">
      <c r="P60">
        <v>37</v>
      </c>
      <c r="Q60">
        <f>P60-$Q$12</f>
        <v>33</v>
      </c>
      <c r="R60">
        <f>IF(Q60&lt;=0,-1,INT((Q60-1)/($Q$10+$Q$11)))</f>
        <v>2</v>
      </c>
      <c r="S60">
        <f>IF(Q60&lt;=0,-1,MOD(Q60-1,($Q$10+$Q$11)))</f>
        <v>4</v>
      </c>
      <c r="T60">
        <f>IF(OR(S60&lt;0,S60&gt;=$Q$10),-1,INT(S60/$Q$9))</f>
        <v>4</v>
      </c>
      <c r="U60">
        <f>IF(OR(S60&lt;0,S60&gt;=$Q$10),-1,MOD(S60,$Q$9))</f>
        <v>0</v>
      </c>
      <c r="V60">
        <f>IF(OR(Q60&lt;=0,S60&lt;0,S60&gt;=$Q$10,R60&gt;=$Q$7),1,0)</f>
        <v>0</v>
      </c>
      <c r="W60">
        <f>IF(Q60&lt;=0,0,IF(S60&lt;$Q$10,T60,IF(S60=$Q$10,$Q$5-1,0)))</f>
        <v>4</v>
      </c>
      <c r="X60">
        <f>IF(Q60&lt;=0,0,IF(S60&lt;=$Q$10,R60,R60+1))</f>
        <v>2</v>
      </c>
      <c r="Y60" t="str">
        <f>IF(V60=1,"",IF(AND(MOD(W60,3)=0,U60=INT(($Q$9-1)/2)),INDEX($B$5:$M$5,W60+1),""))</f>
        <v/>
      </c>
      <c r="Z60" s="6">
        <f>0+$Q$20</f>
        <v>0</v>
      </c>
      <c r="AA60">
        <f>IF(OR(X60&lt;0),NA(),(INDEX($B$6:$M$20,($Q$3-1-0)*$Q$4+X60+1,0*$Q$5+W60+1)-0)/$Q$19*$Q$13)</f>
        <v>0.3397533333333333</v>
      </c>
      <c r="AB60" s="6">
        <f>1+$Q$20-(0+$Q$20+_xlfn.AGGREGATE(9,6,AA60:AA60))</f>
        <v>0.66024666666666665</v>
      </c>
      <c r="AC60">
        <f>IF(OR(X60&lt;0),NA(),(INDEX($B$6:$M$20,($Q$3-1-1)*$Q$4+X60+1,0*$Q$5+W60+1)-0)/$Q$19*$Q$13)</f>
        <v>0.30640666666666661</v>
      </c>
      <c r="AD60" s="6">
        <f>2+$Q$20-(1+$Q$20+_xlfn.AGGREGATE(9,6,AC60:AC60))</f>
        <v>0.69359333333333328</v>
      </c>
      <c r="AE60">
        <f>IF(OR(X60&lt;0),NA(),(INDEX($B$6:$M$20,($Q$3-1-2)*$Q$4+X60+1,0*$Q$5+W60+1)-0)/$Q$19*$Q$13)</f>
        <v>0.53846666666666665</v>
      </c>
      <c r="AF60" t="e">
        <f>IF(OR(Q60&lt;=0,S60&gt;=$Q$10),3,NA())</f>
        <v>#N/A</v>
      </c>
      <c r="AN60">
        <v>32.5</v>
      </c>
      <c r="AO60">
        <f>IF(OR($Q$17&gt;0,$Q$18&lt;0),NA(),2+$Q$20)</f>
        <v>2</v>
      </c>
    </row>
    <row r="61" spans="16:41" x14ac:dyDescent="0.35">
      <c r="P61">
        <v>38</v>
      </c>
      <c r="Q61">
        <f>P61-$Q$12</f>
        <v>34</v>
      </c>
      <c r="R61">
        <f>IF(Q61&lt;=0,-1,INT((Q61-1)/($Q$10+$Q$11)))</f>
        <v>2</v>
      </c>
      <c r="S61">
        <f>IF(Q61&lt;=0,-1,MOD(Q61-1,($Q$10+$Q$11)))</f>
        <v>5</v>
      </c>
      <c r="T61">
        <f>IF(OR(S61&lt;0,S61&gt;=$Q$10),-1,INT(S61/$Q$9))</f>
        <v>5</v>
      </c>
      <c r="U61">
        <f>IF(OR(S61&lt;0,S61&gt;=$Q$10),-1,MOD(S61,$Q$9))</f>
        <v>0</v>
      </c>
      <c r="V61">
        <f>IF(OR(Q61&lt;=0,S61&lt;0,S61&gt;=$Q$10,R61&gt;=$Q$7),1,0)</f>
        <v>0</v>
      </c>
      <c r="W61">
        <f>IF(Q61&lt;=0,0,IF(S61&lt;$Q$10,T61,IF(S61=$Q$10,$Q$5-1,0)))</f>
        <v>5</v>
      </c>
      <c r="X61">
        <f>IF(Q61&lt;=0,0,IF(S61&lt;=$Q$10,R61,R61+1))</f>
        <v>2</v>
      </c>
      <c r="Y61" t="str">
        <f>IF(V61=1,"",IF(AND(MOD(W61,3)=0,U61=INT(($Q$9-1)/2)),INDEX($B$5:$M$5,W61+1),""))</f>
        <v/>
      </c>
      <c r="Z61" s="6">
        <f>0+$Q$20</f>
        <v>0</v>
      </c>
      <c r="AA61">
        <f>IF(OR(X61&lt;0),NA(),(INDEX($B$6:$M$20,($Q$3-1-0)*$Q$4+X61+1,0*$Q$5+W61+1)-0)/$Q$19*$Q$13)</f>
        <v>0.38026133333333328</v>
      </c>
      <c r="AB61" s="6">
        <f>1+$Q$20-(0+$Q$20+_xlfn.AGGREGATE(9,6,AA61:AA61))</f>
        <v>0.61973866666666666</v>
      </c>
      <c r="AC61">
        <f>IF(OR(X61&lt;0),NA(),(INDEX($B$6:$M$20,($Q$3-1-1)*$Q$4+X61+1,0*$Q$5+W61+1)-0)/$Q$19*$Q$13)</f>
        <v>0.24703866666666663</v>
      </c>
      <c r="AD61" s="6">
        <f>2+$Q$20-(1+$Q$20+_xlfn.AGGREGATE(9,6,AC61:AC61))</f>
        <v>0.75296133333333337</v>
      </c>
      <c r="AE61">
        <f>IF(OR(X61&lt;0),NA(),(INDEX($B$6:$M$20,($Q$3-1-2)*$Q$4+X61+1,0*$Q$5+W61+1)-0)/$Q$19*$Q$13)</f>
        <v>0.58427733333333332</v>
      </c>
      <c r="AF61" t="e">
        <f>IF(OR(Q61&lt;=0,S61&gt;=$Q$10),3,NA())</f>
        <v>#N/A</v>
      </c>
      <c r="AN61">
        <v>44.5</v>
      </c>
      <c r="AO61">
        <f>IF(OR($Q$17&gt;0,$Q$18&lt;0),NA(),2+$Q$20)</f>
        <v>2</v>
      </c>
    </row>
    <row r="62" spans="16:41" x14ac:dyDescent="0.35">
      <c r="P62">
        <v>39</v>
      </c>
      <c r="Q62">
        <f>P62-$Q$12</f>
        <v>35</v>
      </c>
      <c r="R62">
        <f>IF(Q62&lt;=0,-1,INT((Q62-1)/($Q$10+$Q$11)))</f>
        <v>2</v>
      </c>
      <c r="S62">
        <f>IF(Q62&lt;=0,-1,MOD(Q62-1,($Q$10+$Q$11)))</f>
        <v>6</v>
      </c>
      <c r="T62">
        <f>IF(OR(S62&lt;0,S62&gt;=$Q$10),-1,INT(S62/$Q$9))</f>
        <v>6</v>
      </c>
      <c r="U62">
        <f>IF(OR(S62&lt;0,S62&gt;=$Q$10),-1,MOD(S62,$Q$9))</f>
        <v>0</v>
      </c>
      <c r="V62">
        <f>IF(OR(Q62&lt;=0,S62&lt;0,S62&gt;=$Q$10,R62&gt;=$Q$7),1,0)</f>
        <v>0</v>
      </c>
      <c r="W62">
        <f>IF(Q62&lt;=0,0,IF(S62&lt;$Q$10,T62,IF(S62=$Q$10,$Q$5-1,0)))</f>
        <v>6</v>
      </c>
      <c r="X62">
        <f>IF(Q62&lt;=0,0,IF(S62&lt;=$Q$10,R62,R62+1))</f>
        <v>2</v>
      </c>
      <c r="Y62" t="str">
        <f>IF(V62=1,"",IF(AND(MOD(W62,3)=0,U62=INT(($Q$9-1)/2)),INDEX($B$5:$M$5,W62+1),""))</f>
        <v>Jul</v>
      </c>
      <c r="Z62" s="6">
        <f>0+$Q$20</f>
        <v>0</v>
      </c>
      <c r="AA62">
        <f>IF(OR(X62&lt;0),NA(),(INDEX($B$6:$M$20,($Q$3-1-0)*$Q$4+X62+1,0*$Q$5+W62+1)-0)/$Q$19*$Q$13)</f>
        <v>0.32242399999999999</v>
      </c>
      <c r="AB62" s="6">
        <f>1+$Q$20-(0+$Q$20+_xlfn.AGGREGATE(9,6,AA62:AA62))</f>
        <v>0.67757599999999996</v>
      </c>
      <c r="AC62">
        <f>IF(OR(X62&lt;0),NA(),(INDEX($B$6:$M$20,($Q$3-1-1)*$Q$4+X62+1,0*$Q$5+W62+1)-0)/$Q$19*$Q$13)</f>
        <v>0.28601600000000005</v>
      </c>
      <c r="AD62" s="6">
        <f>2+$Q$20-(1+$Q$20+_xlfn.AGGREGATE(9,6,AC62:AC62))</f>
        <v>0.71398399999999995</v>
      </c>
      <c r="AE62">
        <f>IF(OR(X62&lt;0),NA(),(INDEX($B$6:$M$20,($Q$3-1-2)*$Q$4+X62+1,0*$Q$5+W62+1)-0)/$Q$19*$Q$13)</f>
        <v>0.63003333333333333</v>
      </c>
      <c r="AF62" t="e">
        <f>IF(OR(Q62&lt;=0,S62&gt;=$Q$10),3,NA())</f>
        <v>#N/A</v>
      </c>
      <c r="AN62">
        <v>44.5</v>
      </c>
      <c r="AO62" t="e">
        <f>NA()</f>
        <v>#N/A</v>
      </c>
    </row>
    <row r="63" spans="16:41" x14ac:dyDescent="0.35">
      <c r="P63">
        <v>40</v>
      </c>
      <c r="Q63">
        <f>P63-$Q$12</f>
        <v>36</v>
      </c>
      <c r="R63">
        <f>IF(Q63&lt;=0,-1,INT((Q63-1)/($Q$10+$Q$11)))</f>
        <v>2</v>
      </c>
      <c r="S63">
        <f>IF(Q63&lt;=0,-1,MOD(Q63-1,($Q$10+$Q$11)))</f>
        <v>7</v>
      </c>
      <c r="T63">
        <f>IF(OR(S63&lt;0,S63&gt;=$Q$10),-1,INT(S63/$Q$9))</f>
        <v>7</v>
      </c>
      <c r="U63">
        <f>IF(OR(S63&lt;0,S63&gt;=$Q$10),-1,MOD(S63,$Q$9))</f>
        <v>0</v>
      </c>
      <c r="V63">
        <f>IF(OR(Q63&lt;=0,S63&lt;0,S63&gt;=$Q$10,R63&gt;=$Q$7),1,0)</f>
        <v>0</v>
      </c>
      <c r="W63">
        <f>IF(Q63&lt;=0,0,IF(S63&lt;$Q$10,T63,IF(S63=$Q$10,$Q$5-1,0)))</f>
        <v>7</v>
      </c>
      <c r="X63">
        <f>IF(Q63&lt;=0,0,IF(S63&lt;=$Q$10,R63,R63+1))</f>
        <v>2</v>
      </c>
      <c r="Y63" t="str">
        <f>IF(V63=1,"",IF(AND(MOD(W63,3)=0,U63=INT(($Q$9-1)/2)),INDEX($B$5:$M$5,W63+1),""))</f>
        <v/>
      </c>
      <c r="Z63" s="6">
        <f>0+$Q$20</f>
        <v>0</v>
      </c>
      <c r="AA63">
        <f>IF(OR(X63&lt;0),NA(),(INDEX($B$6:$M$20,($Q$3-1-0)*$Q$4+X63+1,0*$Q$5+W63+1)-0)/$Q$19*$Q$13)</f>
        <v>0.36293199999999998</v>
      </c>
      <c r="AB63" s="6">
        <f>1+$Q$20-(0+$Q$20+_xlfn.AGGREGATE(9,6,AA63:AA63))</f>
        <v>0.63706799999999997</v>
      </c>
      <c r="AC63">
        <f>IF(OR(X63&lt;0),NA(),(INDEX($B$6:$M$20,($Q$3-1-1)*$Q$4+X63+1,0*$Q$5+W63+1)-0)/$Q$19*$Q$13)</f>
        <v>0.325048</v>
      </c>
      <c r="AD63" s="6">
        <f>2+$Q$20-(1+$Q$20+_xlfn.AGGREGATE(9,6,AC63:AC63))</f>
        <v>0.674952</v>
      </c>
      <c r="AE63">
        <f>IF(OR(X63&lt;0),NA(),(INDEX($B$6:$M$20,($Q$3-1-2)*$Q$4+X63+1,0*$Q$5+W63+1)-0)/$Q$19*$Q$13)</f>
        <v>0.57738933333333331</v>
      </c>
      <c r="AF63" t="e">
        <f>IF(OR(Q63&lt;=0,S63&gt;=$Q$10),3,NA())</f>
        <v>#N/A</v>
      </c>
      <c r="AN63">
        <v>46.5</v>
      </c>
      <c r="AO63">
        <f>IF(OR($Q$17&gt;0,$Q$18&lt;0),NA(),2+$Q$20)</f>
        <v>2</v>
      </c>
    </row>
    <row r="64" spans="16:41" x14ac:dyDescent="0.35">
      <c r="P64">
        <v>41</v>
      </c>
      <c r="Q64">
        <f>P64-$Q$12</f>
        <v>37</v>
      </c>
      <c r="R64">
        <f>IF(Q64&lt;=0,-1,INT((Q64-1)/($Q$10+$Q$11)))</f>
        <v>2</v>
      </c>
      <c r="S64">
        <f>IF(Q64&lt;=0,-1,MOD(Q64-1,($Q$10+$Q$11)))</f>
        <v>8</v>
      </c>
      <c r="T64">
        <f>IF(OR(S64&lt;0,S64&gt;=$Q$10),-1,INT(S64/$Q$9))</f>
        <v>8</v>
      </c>
      <c r="U64">
        <f>IF(OR(S64&lt;0,S64&gt;=$Q$10),-1,MOD(S64,$Q$9))</f>
        <v>0</v>
      </c>
      <c r="V64">
        <f>IF(OR(Q64&lt;=0,S64&lt;0,S64&gt;=$Q$10,R64&gt;=$Q$7),1,0)</f>
        <v>0</v>
      </c>
      <c r="W64">
        <f>IF(Q64&lt;=0,0,IF(S64&lt;$Q$10,T64,IF(S64=$Q$10,$Q$5-1,0)))</f>
        <v>8</v>
      </c>
      <c r="X64">
        <f>IF(Q64&lt;=0,0,IF(S64&lt;=$Q$10,R64,R64+1))</f>
        <v>2</v>
      </c>
      <c r="Y64" t="str">
        <f>IF(V64=1,"",IF(AND(MOD(W64,3)=0,U64=INT(($Q$9-1)/2)),INDEX($B$5:$M$5,W64+1),""))</f>
        <v/>
      </c>
      <c r="Z64" s="6">
        <f>0+$Q$20</f>
        <v>0</v>
      </c>
      <c r="AA64">
        <f>IF(OR(X64&lt;0),NA(),(INDEX($B$6:$M$20,($Q$3-1-0)*$Q$4+X64+1,0*$Q$5+W64+1)-0)/$Q$19*$Q$13)</f>
        <v>0.40343999999999997</v>
      </c>
      <c r="AB64" s="6">
        <f>1+$Q$20-(0+$Q$20+_xlfn.AGGREGATE(9,6,AA64:AA64))</f>
        <v>0.59655999999999998</v>
      </c>
      <c r="AC64">
        <f>IF(OR(X64&lt;0),NA(),(INDEX($B$6:$M$20,($Q$3-1-1)*$Q$4+X64+1,0*$Q$5+W64+1)-0)/$Q$19*$Q$13)</f>
        <v>0.26567999999999997</v>
      </c>
      <c r="AD64" s="6">
        <f>2+$Q$20-(1+$Q$20+_xlfn.AGGREGATE(9,6,AC64:AC64))</f>
        <v>0.73432000000000008</v>
      </c>
      <c r="AE64">
        <f>IF(OR(X64&lt;0),NA(),(INDEX($B$6:$M$20,($Q$3-1-2)*$Q$4+X64+1,0*$Q$5+W64+1)-0)/$Q$19*$Q$13)</f>
        <v>0.62319999999999998</v>
      </c>
      <c r="AF64" t="e">
        <f>IF(OR(Q64&lt;=0,S64&gt;=$Q$10),3,NA())</f>
        <v>#N/A</v>
      </c>
      <c r="AN64">
        <v>58.5</v>
      </c>
      <c r="AO64">
        <f>IF(OR($Q$17&gt;0,$Q$18&lt;0),NA(),2+$Q$20)</f>
        <v>2</v>
      </c>
    </row>
    <row r="65" spans="16:41" x14ac:dyDescent="0.35">
      <c r="P65">
        <v>42</v>
      </c>
      <c r="Q65">
        <f>P65-$Q$12</f>
        <v>38</v>
      </c>
      <c r="R65">
        <f>IF(Q65&lt;=0,-1,INT((Q65-1)/($Q$10+$Q$11)))</f>
        <v>2</v>
      </c>
      <c r="S65">
        <f>IF(Q65&lt;=0,-1,MOD(Q65-1,($Q$10+$Q$11)))</f>
        <v>9</v>
      </c>
      <c r="T65">
        <f>IF(OR(S65&lt;0,S65&gt;=$Q$10),-1,INT(S65/$Q$9))</f>
        <v>9</v>
      </c>
      <c r="U65">
        <f>IF(OR(S65&lt;0,S65&gt;=$Q$10),-1,MOD(S65,$Q$9))</f>
        <v>0</v>
      </c>
      <c r="V65">
        <f>IF(OR(Q65&lt;=0,S65&lt;0,S65&gt;=$Q$10,R65&gt;=$Q$7),1,0)</f>
        <v>0</v>
      </c>
      <c r="W65">
        <f>IF(Q65&lt;=0,0,IF(S65&lt;$Q$10,T65,IF(S65=$Q$10,$Q$5-1,0)))</f>
        <v>9</v>
      </c>
      <c r="X65">
        <f>IF(Q65&lt;=0,0,IF(S65&lt;=$Q$10,R65,R65+1))</f>
        <v>2</v>
      </c>
      <c r="Y65" t="str">
        <f>IF(V65=1,"",IF(AND(MOD(W65,3)=0,U65=INT(($Q$9-1)/2)),INDEX($B$5:$M$5,W65+1),""))</f>
        <v>Oct</v>
      </c>
      <c r="Z65" s="6">
        <f>0+$Q$20</f>
        <v>0</v>
      </c>
      <c r="AA65">
        <f>IF(OR(X65&lt;0),NA(),(INDEX($B$6:$M$20,($Q$3-1-0)*$Q$4+X65+1,0*$Q$5+W65+1)-0)/$Q$19*$Q$13)</f>
        <v>0.34554799999999997</v>
      </c>
      <c r="AB65" s="6">
        <f>1+$Q$20-(0+$Q$20+_xlfn.AGGREGATE(9,6,AA65:AA65))</f>
        <v>0.65445200000000003</v>
      </c>
      <c r="AC65">
        <f>IF(OR(X65&lt;0),NA(),(INDEX($B$6:$M$20,($Q$3-1-1)*$Q$4+X65+1,0*$Q$5+W65+1)-0)/$Q$19*$Q$13)</f>
        <v>0.30471199999999998</v>
      </c>
      <c r="AD65" s="6">
        <f>2+$Q$20-(1+$Q$20+_xlfn.AGGREGATE(9,6,AC65:AC65))</f>
        <v>0.69528800000000013</v>
      </c>
      <c r="AE65">
        <f>IF(OR(X65&lt;0),NA(),(INDEX($B$6:$M$20,($Q$3-1-2)*$Q$4+X65+1,0*$Q$5+W65+1)-0)/$Q$19*$Q$13)</f>
        <v>0.66901066666666664</v>
      </c>
      <c r="AF65" t="e">
        <f>IF(OR(Q65&lt;=0,S65&gt;=$Q$10),3,NA())</f>
        <v>#N/A</v>
      </c>
      <c r="AN65">
        <v>58.5</v>
      </c>
      <c r="AO65" t="e">
        <f>NA()</f>
        <v>#N/A</v>
      </c>
    </row>
    <row r="66" spans="16:41" x14ac:dyDescent="0.35">
      <c r="P66">
        <v>43</v>
      </c>
      <c r="Q66">
        <f>P66-$Q$12</f>
        <v>39</v>
      </c>
      <c r="R66">
        <f>IF(Q66&lt;=0,-1,INT((Q66-1)/($Q$10+$Q$11)))</f>
        <v>2</v>
      </c>
      <c r="S66">
        <f>IF(Q66&lt;=0,-1,MOD(Q66-1,($Q$10+$Q$11)))</f>
        <v>10</v>
      </c>
      <c r="T66">
        <f>IF(OR(S66&lt;0,S66&gt;=$Q$10),-1,INT(S66/$Q$9))</f>
        <v>10</v>
      </c>
      <c r="U66">
        <f>IF(OR(S66&lt;0,S66&gt;=$Q$10),-1,MOD(S66,$Q$9))</f>
        <v>0</v>
      </c>
      <c r="V66">
        <f>IF(OR(Q66&lt;=0,S66&lt;0,S66&gt;=$Q$10,R66&gt;=$Q$7),1,0)</f>
        <v>0</v>
      </c>
      <c r="W66">
        <f>IF(Q66&lt;=0,0,IF(S66&lt;$Q$10,T66,IF(S66=$Q$10,$Q$5-1,0)))</f>
        <v>10</v>
      </c>
      <c r="X66">
        <f>IF(Q66&lt;=0,0,IF(S66&lt;=$Q$10,R66,R66+1))</f>
        <v>2</v>
      </c>
      <c r="Y66" t="str">
        <f>IF(V66=1,"",IF(AND(MOD(W66,3)=0,U66=INT(($Q$9-1)/2)),INDEX($B$5:$M$5,W66+1),""))</f>
        <v/>
      </c>
      <c r="Z66" s="6">
        <f>0+$Q$20</f>
        <v>0</v>
      </c>
      <c r="AA66">
        <f>IF(OR(X66&lt;0),NA(),(INDEX($B$6:$M$20,($Q$3-1-0)*$Q$4+X66+1,0*$Q$5+W66+1)-0)/$Q$19*$Q$13)</f>
        <v>0.38605600000000001</v>
      </c>
      <c r="AB66" s="6">
        <f>1+$Q$20-(0+$Q$20+_xlfn.AGGREGATE(9,6,AA66:AA66))</f>
        <v>0.61394400000000005</v>
      </c>
      <c r="AC66">
        <f>IF(OR(X66&lt;0),NA(),(INDEX($B$6:$M$20,($Q$3-1-1)*$Q$4+X66+1,0*$Q$5+W66+1)-0)/$Q$19*$Q$13)</f>
        <v>0.34374399999999994</v>
      </c>
      <c r="AD66" s="6">
        <f>2+$Q$20-(1+$Q$20+_xlfn.AGGREGATE(9,6,AC66:AC66))</f>
        <v>0.65625599999999995</v>
      </c>
      <c r="AE66">
        <f>IF(OR(X66&lt;0),NA(),(INDEX($B$6:$M$20,($Q$3-1-2)*$Q$4+X66+1,0*$Q$5+W66+1)-0)/$Q$19*$Q$13)</f>
        <v>0.61636666666666662</v>
      </c>
      <c r="AF66" t="e">
        <f>IF(OR(Q66&lt;=0,S66&gt;=$Q$10),3,NA())</f>
        <v>#N/A</v>
      </c>
      <c r="AN66">
        <v>60.5</v>
      </c>
      <c r="AO66">
        <f>IF(OR($Q$17&gt;0,$Q$18&lt;0),NA(),2+$Q$20)</f>
        <v>2</v>
      </c>
    </row>
    <row r="67" spans="16:41" x14ac:dyDescent="0.35">
      <c r="P67">
        <v>44</v>
      </c>
      <c r="Q67">
        <f>P67-$Q$12</f>
        <v>40</v>
      </c>
      <c r="R67">
        <f>IF(Q67&lt;=0,-1,INT((Q67-1)/($Q$10+$Q$11)))</f>
        <v>2</v>
      </c>
      <c r="S67">
        <f>IF(Q67&lt;=0,-1,MOD(Q67-1,($Q$10+$Q$11)))</f>
        <v>11</v>
      </c>
      <c r="T67">
        <f>IF(OR(S67&lt;0,S67&gt;=$Q$10),-1,INT(S67/$Q$9))</f>
        <v>11</v>
      </c>
      <c r="U67">
        <f>IF(OR(S67&lt;0,S67&gt;=$Q$10),-1,MOD(S67,$Q$9))</f>
        <v>0</v>
      </c>
      <c r="V67">
        <f>IF(OR(Q67&lt;=0,S67&lt;0,S67&gt;=$Q$10,R67&gt;=$Q$7),1,0)</f>
        <v>0</v>
      </c>
      <c r="W67">
        <f>IF(Q67&lt;=0,0,IF(S67&lt;$Q$10,T67,IF(S67=$Q$10,$Q$5-1,0)))</f>
        <v>11</v>
      </c>
      <c r="X67">
        <f>IF(Q67&lt;=0,0,IF(S67&lt;=$Q$10,R67,R67+1))</f>
        <v>2</v>
      </c>
      <c r="Y67" t="str">
        <f>IF(V67=1,"",IF(AND(MOD(W67,3)=0,U67=INT(($Q$9-1)/2)),INDEX($B$5:$M$5,W67+1),""))</f>
        <v/>
      </c>
      <c r="Z67" s="6">
        <f>0+$Q$20</f>
        <v>0</v>
      </c>
      <c r="AA67">
        <f>IF(OR(X67&lt;0),NA(),(INDEX($B$6:$M$20,($Q$3-1-0)*$Q$4+X67+1,0*$Q$5+W67+1)-0)/$Q$19*$Q$13)</f>
        <v>0.42661866666666665</v>
      </c>
      <c r="AB67" s="6">
        <f>1+$Q$20-(0+$Q$20+_xlfn.AGGREGATE(9,6,AA67:AA67))</f>
        <v>0.5733813333333333</v>
      </c>
      <c r="AC67">
        <f>IF(OR(X67&lt;0),NA(),(INDEX($B$6:$M$20,($Q$3-1-1)*$Q$4+X67+1,0*$Q$5+W67+1)-0)/$Q$19*$Q$13)</f>
        <v>0.28432133333333331</v>
      </c>
      <c r="AD67" s="6">
        <f>2+$Q$20-(1+$Q$20+_xlfn.AGGREGATE(9,6,AC67:AC67))</f>
        <v>0.7156786666666668</v>
      </c>
      <c r="AE67">
        <f>IF(OR(X67&lt;0),NA(),(INDEX($B$6:$M$20,($Q$3-1-2)*$Q$4+X67+1,0*$Q$5+W67+1)-0)/$Q$19*$Q$13)</f>
        <v>0.66212266666666664</v>
      </c>
      <c r="AF67" t="e">
        <f>IF(OR(Q67&lt;=0,S67&gt;=$Q$10),3,NA())</f>
        <v>#N/A</v>
      </c>
      <c r="AN67">
        <v>72.5</v>
      </c>
      <c r="AO67">
        <f>IF(OR($Q$17&gt;0,$Q$18&lt;0),NA(),2+$Q$20)</f>
        <v>2</v>
      </c>
    </row>
    <row r="68" spans="16:41" x14ac:dyDescent="0.35">
      <c r="P68">
        <v>45</v>
      </c>
      <c r="Q68">
        <f>P68-$Q$12</f>
        <v>41</v>
      </c>
      <c r="R68">
        <f>IF(Q68&lt;=0,-1,INT((Q68-1)/($Q$10+$Q$11)))</f>
        <v>2</v>
      </c>
      <c r="S68">
        <f>IF(Q68&lt;=0,-1,MOD(Q68-1,($Q$10+$Q$11)))</f>
        <v>12</v>
      </c>
      <c r="T68">
        <f>IF(OR(S68&lt;0,S68&gt;=$Q$10),-1,INT(S68/$Q$9))</f>
        <v>-1</v>
      </c>
      <c r="U68">
        <f>IF(OR(S68&lt;0,S68&gt;=$Q$10),-1,MOD(S68,$Q$9))</f>
        <v>-1</v>
      </c>
      <c r="V68">
        <f>IF(OR(Q68&lt;=0,S68&lt;0,S68&gt;=$Q$10,R68&gt;=$Q$7),1,0)</f>
        <v>1</v>
      </c>
      <c r="W68">
        <f>IF(Q68&lt;=0,0,IF(S68&lt;$Q$10,T68,IF(S68=$Q$10,$Q$5-1,0)))</f>
        <v>11</v>
      </c>
      <c r="X68">
        <f>IF(Q68&lt;=0,0,IF(S68&lt;=$Q$10,R68,R68+1))</f>
        <v>2</v>
      </c>
      <c r="Y68" t="str">
        <f>IF(V68=1,"",IF(AND(MOD(W68,3)=0,U68=INT(($Q$9-1)/2)),INDEX($B$5:$M$5,W68+1),""))</f>
        <v/>
      </c>
      <c r="Z68" s="6">
        <f>0+$Q$20</f>
        <v>0</v>
      </c>
      <c r="AA68">
        <f>IF(OR(X68&lt;0),NA(),(INDEX($B$6:$M$20,($Q$3-1-0)*$Q$4+X68+1,0*$Q$5+W68+1)-0)/$Q$19*$Q$13)</f>
        <v>0.42661866666666665</v>
      </c>
      <c r="AB68" s="6">
        <f>1+$Q$20-(0+$Q$20+_xlfn.AGGREGATE(9,6,AA68:AA68))</f>
        <v>0.5733813333333333</v>
      </c>
      <c r="AC68">
        <f>IF(OR(X68&lt;0),NA(),(INDEX($B$6:$M$20,($Q$3-1-1)*$Q$4+X68+1,0*$Q$5+W68+1)-0)/$Q$19*$Q$13)</f>
        <v>0.28432133333333331</v>
      </c>
      <c r="AD68" s="6">
        <f>2+$Q$20-(1+$Q$20+_xlfn.AGGREGATE(9,6,AC68:AC68))</f>
        <v>0.7156786666666668</v>
      </c>
      <c r="AE68">
        <f>IF(OR(X68&lt;0),NA(),(INDEX($B$6:$M$20,($Q$3-1-2)*$Q$4+X68+1,0*$Q$5+W68+1)-0)/$Q$19*$Q$13)</f>
        <v>0.66212266666666664</v>
      </c>
      <c r="AF68">
        <f>IF(OR(Q68&lt;=0,S68&gt;=$Q$10),3,NA())</f>
        <v>3</v>
      </c>
      <c r="AN68">
        <v>72.5</v>
      </c>
      <c r="AO68" t="e">
        <f>NA()</f>
        <v>#N/A</v>
      </c>
    </row>
    <row r="69" spans="16:41" x14ac:dyDescent="0.35">
      <c r="P69">
        <v>46</v>
      </c>
      <c r="Q69">
        <f>P69-$Q$12</f>
        <v>42</v>
      </c>
      <c r="R69">
        <f>IF(Q69&lt;=0,-1,INT((Q69-1)/($Q$10+$Q$11)))</f>
        <v>2</v>
      </c>
      <c r="S69">
        <f>IF(Q69&lt;=0,-1,MOD(Q69-1,($Q$10+$Q$11)))</f>
        <v>13</v>
      </c>
      <c r="T69">
        <f>IF(OR(S69&lt;0,S69&gt;=$Q$10),-1,INT(S69/$Q$9))</f>
        <v>-1</v>
      </c>
      <c r="U69">
        <f>IF(OR(S69&lt;0,S69&gt;=$Q$10),-1,MOD(S69,$Q$9))</f>
        <v>-1</v>
      </c>
      <c r="V69">
        <f>IF(OR(Q69&lt;=0,S69&lt;0,S69&gt;=$Q$10,R69&gt;=$Q$7),1,0)</f>
        <v>1</v>
      </c>
      <c r="W69">
        <f>IF(Q69&lt;=0,0,IF(S69&lt;$Q$10,T69,IF(S69=$Q$10,$Q$5-1,0)))</f>
        <v>0</v>
      </c>
      <c r="X69">
        <f>IF(Q69&lt;=0,0,IF(S69&lt;=$Q$10,R69,R69+1))</f>
        <v>3</v>
      </c>
      <c r="Y69" t="str">
        <f>IF(V69=1,"",IF(AND(MOD(W69,3)=0,U69=INT(($Q$9-1)/2)),INDEX($B$5:$M$5,W69+1),""))</f>
        <v/>
      </c>
      <c r="Z69" s="6">
        <f>0+$Q$20</f>
        <v>0</v>
      </c>
      <c r="AA69">
        <f>IF(OR(X69&lt;0),NA(),(INDEX($B$6:$M$20,($Q$3-1-0)*$Q$4+X69+1,0*$Q$5+W69+1)-0)/$Q$19*$Q$13)</f>
        <v>0.51933333333333331</v>
      </c>
      <c r="AB69" s="6">
        <f>1+$Q$20-(0+$Q$20+_xlfn.AGGREGATE(9,6,AA69:AA69))</f>
        <v>0.48066666666666669</v>
      </c>
      <c r="AC69">
        <f>IF(OR(X69&lt;0),NA(),(INDEX($B$6:$M$20,($Q$3-1-1)*$Q$4+X69+1,0*$Q$5+W69+1)-0)/$Q$19*$Q$13)</f>
        <v>0.49199999999999994</v>
      </c>
      <c r="AD69" s="6">
        <f>2+$Q$20-(1+$Q$20+_xlfn.AGGREGATE(9,6,AC69:AC69))</f>
        <v>0.50800000000000001</v>
      </c>
      <c r="AE69">
        <f>IF(OR(X69&lt;0),NA(),(INDEX($B$6:$M$20,($Q$3-1-2)*$Q$4+X69+1,0*$Q$5+W69+1)-0)/$Q$19*$Q$13)</f>
        <v>0.36626666666666663</v>
      </c>
      <c r="AF69">
        <f>IF(OR(Q69&lt;=0,S69&gt;=$Q$10),3,NA())</f>
        <v>3</v>
      </c>
    </row>
    <row r="70" spans="16:41" x14ac:dyDescent="0.35">
      <c r="P70">
        <v>47</v>
      </c>
      <c r="Q70">
        <f>P70-$Q$12</f>
        <v>43</v>
      </c>
      <c r="R70">
        <f>IF(Q70&lt;=0,-1,INT((Q70-1)/($Q$10+$Q$11)))</f>
        <v>3</v>
      </c>
      <c r="S70">
        <f>IF(Q70&lt;=0,-1,MOD(Q70-1,($Q$10+$Q$11)))</f>
        <v>0</v>
      </c>
      <c r="T70">
        <f>IF(OR(S70&lt;0,S70&gt;=$Q$10),-1,INT(S70/$Q$9))</f>
        <v>0</v>
      </c>
      <c r="U70">
        <f>IF(OR(S70&lt;0,S70&gt;=$Q$10),-1,MOD(S70,$Q$9))</f>
        <v>0</v>
      </c>
      <c r="V70">
        <f>IF(OR(Q70&lt;=0,S70&lt;0,S70&gt;=$Q$10,R70&gt;=$Q$7),1,0)</f>
        <v>0</v>
      </c>
      <c r="W70">
        <f>IF(Q70&lt;=0,0,IF(S70&lt;$Q$10,T70,IF(S70=$Q$10,$Q$5-1,0)))</f>
        <v>0</v>
      </c>
      <c r="X70">
        <f>IF(Q70&lt;=0,0,IF(S70&lt;=$Q$10,R70,R70+1))</f>
        <v>3</v>
      </c>
      <c r="Y70" t="str">
        <f>IF(V70=1,"",IF(AND(MOD(W70,3)=0,U70=INT(($Q$9-1)/2)),INDEX($B$5:$M$5,W70+1),""))</f>
        <v>Jan</v>
      </c>
      <c r="Z70" s="6">
        <f>0+$Q$20</f>
        <v>0</v>
      </c>
      <c r="AA70">
        <f>IF(OR(X70&lt;0),NA(),(INDEX($B$6:$M$20,($Q$3-1-0)*$Q$4+X70+1,0*$Q$5+W70+1)-0)/$Q$19*$Q$13)</f>
        <v>0.51933333333333331</v>
      </c>
      <c r="AB70" s="6">
        <f>1+$Q$20-(0+$Q$20+_xlfn.AGGREGATE(9,6,AA70:AA70))</f>
        <v>0.48066666666666669</v>
      </c>
      <c r="AC70">
        <f>IF(OR(X70&lt;0),NA(),(INDEX($B$6:$M$20,($Q$3-1-1)*$Q$4+X70+1,0*$Q$5+W70+1)-0)/$Q$19*$Q$13)</f>
        <v>0.49199999999999994</v>
      </c>
      <c r="AD70" s="6">
        <f>2+$Q$20-(1+$Q$20+_xlfn.AGGREGATE(9,6,AC70:AC70))</f>
        <v>0.50800000000000001</v>
      </c>
      <c r="AE70">
        <f>IF(OR(X70&lt;0),NA(),(INDEX($B$6:$M$20,($Q$3-1-2)*$Q$4+X70+1,0*$Q$5+W70+1)-0)/$Q$19*$Q$13)</f>
        <v>0.36626666666666663</v>
      </c>
      <c r="AF70" t="e">
        <f>IF(OR(Q70&lt;=0,S70&gt;=$Q$10),3,NA())</f>
        <v>#N/A</v>
      </c>
    </row>
    <row r="71" spans="16:41" x14ac:dyDescent="0.35">
      <c r="P71">
        <v>48</v>
      </c>
      <c r="Q71">
        <f>P71-$Q$12</f>
        <v>44</v>
      </c>
      <c r="R71">
        <f>IF(Q71&lt;=0,-1,INT((Q71-1)/($Q$10+$Q$11)))</f>
        <v>3</v>
      </c>
      <c r="S71">
        <f>IF(Q71&lt;=0,-1,MOD(Q71-1,($Q$10+$Q$11)))</f>
        <v>1</v>
      </c>
      <c r="T71">
        <f>IF(OR(S71&lt;0,S71&gt;=$Q$10),-1,INT(S71/$Q$9))</f>
        <v>1</v>
      </c>
      <c r="U71">
        <f>IF(OR(S71&lt;0,S71&gt;=$Q$10),-1,MOD(S71,$Q$9))</f>
        <v>0</v>
      </c>
      <c r="V71">
        <f>IF(OR(Q71&lt;=0,S71&lt;0,S71&gt;=$Q$10,R71&gt;=$Q$7),1,0)</f>
        <v>0</v>
      </c>
      <c r="W71">
        <f>IF(Q71&lt;=0,0,IF(S71&lt;$Q$10,T71,IF(S71=$Q$10,$Q$5-1,0)))</f>
        <v>1</v>
      </c>
      <c r="X71">
        <f>IF(Q71&lt;=0,0,IF(S71&lt;=$Q$10,R71,R71+1))</f>
        <v>3</v>
      </c>
      <c r="Y71" t="str">
        <f>IF(V71=1,"",IF(AND(MOD(W71,3)=0,U71=INT(($Q$9-1)/2)),INDEX($B$5:$M$5,W71+1),""))</f>
        <v/>
      </c>
      <c r="Z71" s="6">
        <f>0+$Q$20</f>
        <v>0</v>
      </c>
      <c r="AA71">
        <f>IF(OR(X71&lt;0),NA(),(INDEX($B$6:$M$20,($Q$3-1-0)*$Q$4+X71+1,0*$Q$5+W71+1)-0)/$Q$19*$Q$13)</f>
        <v>0.56514399999999987</v>
      </c>
      <c r="AB71" s="6">
        <f>1+$Q$20-(0+$Q$20+_xlfn.AGGREGATE(9,6,AA71:AA71))</f>
        <v>0.43485600000000013</v>
      </c>
      <c r="AC71">
        <f>IF(OR(X71&lt;0),NA(),(INDEX($B$6:$M$20,($Q$3-1-1)*$Q$4+X71+1,0*$Q$5+W71+1)-0)/$Q$19*$Q$13)</f>
        <v>0.43787999999999999</v>
      </c>
      <c r="AD71" s="6">
        <f>2+$Q$20-(1+$Q$20+_xlfn.AGGREGATE(9,6,AC71:AC71))</f>
        <v>0.56211999999999995</v>
      </c>
      <c r="AE71">
        <f>IF(OR(X71&lt;0),NA(),(INDEX($B$6:$M$20,($Q$3-1-2)*$Q$4+X71+1,0*$Q$5+W71+1)-0)/$Q$19*$Q$13)</f>
        <v>0.40901599999999999</v>
      </c>
      <c r="AF71" t="e">
        <f>IF(OR(Q71&lt;=0,S71&gt;=$Q$10),3,NA())</f>
        <v>#N/A</v>
      </c>
    </row>
    <row r="72" spans="16:41" x14ac:dyDescent="0.35">
      <c r="P72">
        <v>49</v>
      </c>
      <c r="Q72">
        <f>P72-$Q$12</f>
        <v>45</v>
      </c>
      <c r="R72">
        <f>IF(Q72&lt;=0,-1,INT((Q72-1)/($Q$10+$Q$11)))</f>
        <v>3</v>
      </c>
      <c r="S72">
        <f>IF(Q72&lt;=0,-1,MOD(Q72-1,($Q$10+$Q$11)))</f>
        <v>2</v>
      </c>
      <c r="T72">
        <f>IF(OR(S72&lt;0,S72&gt;=$Q$10),-1,INT(S72/$Q$9))</f>
        <v>2</v>
      </c>
      <c r="U72">
        <f>IF(OR(S72&lt;0,S72&gt;=$Q$10),-1,MOD(S72,$Q$9))</f>
        <v>0</v>
      </c>
      <c r="V72">
        <f>IF(OR(Q72&lt;=0,S72&lt;0,S72&gt;=$Q$10,R72&gt;=$Q$7),1,0)</f>
        <v>0</v>
      </c>
      <c r="W72">
        <f>IF(Q72&lt;=0,0,IF(S72&lt;$Q$10,T72,IF(S72=$Q$10,$Q$5-1,0)))</f>
        <v>2</v>
      </c>
      <c r="X72">
        <f>IF(Q72&lt;=0,0,IF(S72&lt;=$Q$10,R72,R72+1))</f>
        <v>3</v>
      </c>
      <c r="Y72" t="str">
        <f>IF(V72=1,"",IF(AND(MOD(W72,3)=0,U72=INT(($Q$9-1)/2)),INDEX($B$5:$M$5,W72+1),""))</f>
        <v/>
      </c>
      <c r="Z72" s="6">
        <f>0+$Q$20</f>
        <v>0</v>
      </c>
      <c r="AA72">
        <f>IF(OR(X72&lt;0),NA(),(INDEX($B$6:$M$20,($Q$3-1-0)*$Q$4+X72+1,0*$Q$5+W72+1)-0)/$Q$19*$Q$13)</f>
        <v>0.51249999999999996</v>
      </c>
      <c r="AB72" s="6">
        <f>1+$Q$20-(0+$Q$20+_xlfn.AGGREGATE(9,6,AA72:AA72))</f>
        <v>0.48750000000000004</v>
      </c>
      <c r="AC72">
        <f>IF(OR(X72&lt;0),NA(),(INDEX($B$6:$M$20,($Q$3-1-1)*$Q$4+X72+1,0*$Q$5+W72+1)-0)/$Q$19*$Q$13)</f>
        <v>0.48215999999999992</v>
      </c>
      <c r="AD72" s="6">
        <f>2+$Q$20-(1+$Q$20+_xlfn.AGGREGATE(9,6,AC72:AC72))</f>
        <v>0.51784000000000008</v>
      </c>
      <c r="AE72">
        <f>IF(OR(X72&lt;0),NA(),(INDEX($B$6:$M$20,($Q$3-1-2)*$Q$4+X72+1,0*$Q$5+W72+1)-0)/$Q$19*$Q$13)</f>
        <v>0.45182</v>
      </c>
      <c r="AF72" t="e">
        <f>IF(OR(Q72&lt;=0,S72&gt;=$Q$10),3,NA())</f>
        <v>#N/A</v>
      </c>
    </row>
    <row r="73" spans="16:41" x14ac:dyDescent="0.35">
      <c r="P73">
        <v>50</v>
      </c>
      <c r="Q73">
        <f>P73-$Q$12</f>
        <v>46</v>
      </c>
      <c r="R73">
        <f>IF(Q73&lt;=0,-1,INT((Q73-1)/($Q$10+$Q$11)))</f>
        <v>3</v>
      </c>
      <c r="S73">
        <f>IF(Q73&lt;=0,-1,MOD(Q73-1,($Q$10+$Q$11)))</f>
        <v>3</v>
      </c>
      <c r="T73">
        <f>IF(OR(S73&lt;0,S73&gt;=$Q$10),-1,INT(S73/$Q$9))</f>
        <v>3</v>
      </c>
      <c r="U73">
        <f>IF(OR(S73&lt;0,S73&gt;=$Q$10),-1,MOD(S73,$Q$9))</f>
        <v>0</v>
      </c>
      <c r="V73">
        <f>IF(OR(Q73&lt;=0,S73&lt;0,S73&gt;=$Q$10,R73&gt;=$Q$7),1,0)</f>
        <v>0</v>
      </c>
      <c r="W73">
        <f>IF(Q73&lt;=0,0,IF(S73&lt;$Q$10,T73,IF(S73=$Q$10,$Q$5-1,0)))</f>
        <v>3</v>
      </c>
      <c r="X73">
        <f>IF(Q73&lt;=0,0,IF(S73&lt;=$Q$10,R73,R73+1))</f>
        <v>3</v>
      </c>
      <c r="Y73" t="str">
        <f>IF(V73=1,"",IF(AND(MOD(W73,3)=0,U73=INT(($Q$9-1)/2)),INDEX($B$5:$M$5,W73+1),""))</f>
        <v>Apr</v>
      </c>
      <c r="Z73" s="6">
        <f>0+$Q$20</f>
        <v>0</v>
      </c>
      <c r="AA73">
        <f>IF(OR(X73&lt;0),NA(),(INDEX($B$6:$M$20,($Q$3-1-0)*$Q$4+X73+1,0*$Q$5+W73+1)-0)/$Q$19*$Q$13)</f>
        <v>0.55825599999999997</v>
      </c>
      <c r="AB73" s="6">
        <f>1+$Q$20-(0+$Q$20+_xlfn.AGGREGATE(9,6,AA73:AA73))</f>
        <v>0.44174400000000003</v>
      </c>
      <c r="AC73">
        <f>IF(OR(X73&lt;0),NA(),(INDEX($B$6:$M$20,($Q$3-1-1)*$Q$4+X73+1,0*$Q$5+W73+1)-0)/$Q$19*$Q$13)</f>
        <v>0.52644000000000002</v>
      </c>
      <c r="AD73" s="6">
        <f>2+$Q$20-(1+$Q$20+_xlfn.AGGREGATE(9,6,AC73:AC73))</f>
        <v>0.47355999999999998</v>
      </c>
      <c r="AE73">
        <f>IF(OR(X73&lt;0),NA(),(INDEX($B$6:$M$20,($Q$3-1-2)*$Q$4+X73+1,0*$Q$5+W73+1)-0)/$Q$19*$Q$13)</f>
        <v>0.39622399999999997</v>
      </c>
      <c r="AF73" t="e">
        <f>IF(OR(Q73&lt;=0,S73&gt;=$Q$10),3,NA())</f>
        <v>#N/A</v>
      </c>
    </row>
    <row r="74" spans="16:41" x14ac:dyDescent="0.35">
      <c r="P74">
        <v>51</v>
      </c>
      <c r="Q74">
        <f>P74-$Q$12</f>
        <v>47</v>
      </c>
      <c r="R74">
        <f>IF(Q74&lt;=0,-1,INT((Q74-1)/($Q$10+$Q$11)))</f>
        <v>3</v>
      </c>
      <c r="S74">
        <f>IF(Q74&lt;=0,-1,MOD(Q74-1,($Q$10+$Q$11)))</f>
        <v>4</v>
      </c>
      <c r="T74">
        <f>IF(OR(S74&lt;0,S74&gt;=$Q$10),-1,INT(S74/$Q$9))</f>
        <v>4</v>
      </c>
      <c r="U74">
        <f>IF(OR(S74&lt;0,S74&gt;=$Q$10),-1,MOD(S74,$Q$9))</f>
        <v>0</v>
      </c>
      <c r="V74">
        <f>IF(OR(Q74&lt;=0,S74&lt;0,S74&gt;=$Q$10,R74&gt;=$Q$7),1,0)</f>
        <v>0</v>
      </c>
      <c r="W74">
        <f>IF(Q74&lt;=0,0,IF(S74&lt;$Q$10,T74,IF(S74=$Q$10,$Q$5-1,0)))</f>
        <v>4</v>
      </c>
      <c r="X74">
        <f>IF(Q74&lt;=0,0,IF(S74&lt;=$Q$10,R74,R74+1))</f>
        <v>3</v>
      </c>
      <c r="Y74" t="str">
        <f>IF(V74=1,"",IF(AND(MOD(W74,3)=0,U74=INT(($Q$9-1)/2)),INDEX($B$5:$M$5,W74+1),""))</f>
        <v/>
      </c>
      <c r="Z74" s="6">
        <f>0+$Q$20</f>
        <v>0</v>
      </c>
      <c r="AA74">
        <f>IF(OR(X74&lt;0),NA(),(INDEX($B$6:$M$20,($Q$3-1-0)*$Q$4+X74+1,0*$Q$5+W74+1)-0)/$Q$19*$Q$13)</f>
        <v>0.60406666666666664</v>
      </c>
      <c r="AB74" s="6">
        <f>1+$Q$20-(0+$Q$20+_xlfn.AGGREGATE(9,6,AA74:AA74))</f>
        <v>0.39593333333333336</v>
      </c>
      <c r="AC74">
        <f>IF(OR(X74&lt;0),NA(),(INDEX($B$6:$M$20,($Q$3-1-1)*$Q$4+X74+1,0*$Q$5+W74+1)-0)/$Q$19*$Q$13)</f>
        <v>0.47231999999999996</v>
      </c>
      <c r="AD74" s="6">
        <f>2+$Q$20-(1+$Q$20+_xlfn.AGGREGATE(9,6,AC74:AC74))</f>
        <v>0.52768000000000015</v>
      </c>
      <c r="AE74">
        <f>IF(OR(X74&lt;0),NA(),(INDEX($B$6:$M$20,($Q$3-1-2)*$Q$4+X74+1,0*$Q$5+W74+1)-0)/$Q$19*$Q$13)</f>
        <v>0.43897333333333333</v>
      </c>
      <c r="AF74" t="e">
        <f>IF(OR(Q74&lt;=0,S74&gt;=$Q$10),3,NA())</f>
        <v>#N/A</v>
      </c>
    </row>
    <row r="75" spans="16:41" x14ac:dyDescent="0.35">
      <c r="P75">
        <v>52</v>
      </c>
      <c r="Q75">
        <f>P75-$Q$12</f>
        <v>48</v>
      </c>
      <c r="R75">
        <f>IF(Q75&lt;=0,-1,INT((Q75-1)/($Q$10+$Q$11)))</f>
        <v>3</v>
      </c>
      <c r="S75">
        <f>IF(Q75&lt;=0,-1,MOD(Q75-1,($Q$10+$Q$11)))</f>
        <v>5</v>
      </c>
      <c r="T75">
        <f>IF(OR(S75&lt;0,S75&gt;=$Q$10),-1,INT(S75/$Q$9))</f>
        <v>5</v>
      </c>
      <c r="U75">
        <f>IF(OR(S75&lt;0,S75&gt;=$Q$10),-1,MOD(S75,$Q$9))</f>
        <v>0</v>
      </c>
      <c r="V75">
        <f>IF(OR(Q75&lt;=0,S75&lt;0,S75&gt;=$Q$10,R75&gt;=$Q$7),1,0)</f>
        <v>0</v>
      </c>
      <c r="W75">
        <f>IF(Q75&lt;=0,0,IF(S75&lt;$Q$10,T75,IF(S75=$Q$10,$Q$5-1,0)))</f>
        <v>5</v>
      </c>
      <c r="X75">
        <f>IF(Q75&lt;=0,0,IF(S75&lt;=$Q$10,R75,R75+1))</f>
        <v>3</v>
      </c>
      <c r="Y75" t="str">
        <f>IF(V75=1,"",IF(AND(MOD(W75,3)=0,U75=INT(($Q$9-1)/2)),INDEX($B$5:$M$5,W75+1),""))</f>
        <v/>
      </c>
      <c r="Z75" s="6">
        <f>0+$Q$20</f>
        <v>0</v>
      </c>
      <c r="AA75">
        <f>IF(OR(X75&lt;0),NA(),(INDEX($B$6:$M$20,($Q$3-1-0)*$Q$4+X75+1,0*$Q$5+W75+1)-0)/$Q$19*$Q$13)</f>
        <v>0.55147733333333326</v>
      </c>
      <c r="AB75" s="6">
        <f>1+$Q$20-(0+$Q$20+_xlfn.AGGREGATE(9,6,AA75:AA75))</f>
        <v>0.44852266666666674</v>
      </c>
      <c r="AC75">
        <f>IF(OR(X75&lt;0),NA(),(INDEX($B$6:$M$20,($Q$3-1-1)*$Q$4+X75+1,0*$Q$5+W75+1)-0)/$Q$19*$Q$13)</f>
        <v>0.51659999999999995</v>
      </c>
      <c r="AD75" s="6">
        <f>2+$Q$20-(1+$Q$20+_xlfn.AGGREGATE(9,6,AC75:AC75))</f>
        <v>0.48340000000000005</v>
      </c>
      <c r="AE75">
        <f>IF(OR(X75&lt;0),NA(),(INDEX($B$6:$M$20,($Q$3-1-2)*$Q$4+X75+1,0*$Q$5+W75+1)-0)/$Q$19*$Q$13)</f>
        <v>0.48172266666666663</v>
      </c>
      <c r="AF75" t="e">
        <f>IF(OR(Q75&lt;=0,S75&gt;=$Q$10),3,NA())</f>
        <v>#N/A</v>
      </c>
    </row>
    <row r="76" spans="16:41" x14ac:dyDescent="0.35">
      <c r="P76">
        <v>53</v>
      </c>
      <c r="Q76">
        <f>P76-$Q$12</f>
        <v>49</v>
      </c>
      <c r="R76">
        <f>IF(Q76&lt;=0,-1,INT((Q76-1)/($Q$10+$Q$11)))</f>
        <v>3</v>
      </c>
      <c r="S76">
        <f>IF(Q76&lt;=0,-1,MOD(Q76-1,($Q$10+$Q$11)))</f>
        <v>6</v>
      </c>
      <c r="T76">
        <f>IF(OR(S76&lt;0,S76&gt;=$Q$10),-1,INT(S76/$Q$9))</f>
        <v>6</v>
      </c>
      <c r="U76">
        <f>IF(OR(S76&lt;0,S76&gt;=$Q$10),-1,MOD(S76,$Q$9))</f>
        <v>0</v>
      </c>
      <c r="V76">
        <f>IF(OR(Q76&lt;=0,S76&lt;0,S76&gt;=$Q$10,R76&gt;=$Q$7),1,0)</f>
        <v>0</v>
      </c>
      <c r="W76">
        <f>IF(Q76&lt;=0,0,IF(S76&lt;$Q$10,T76,IF(S76=$Q$10,$Q$5-1,0)))</f>
        <v>6</v>
      </c>
      <c r="X76">
        <f>IF(Q76&lt;=0,0,IF(S76&lt;=$Q$10,R76,R76+1))</f>
        <v>3</v>
      </c>
      <c r="Y76" t="str">
        <f>IF(V76=1,"",IF(AND(MOD(W76,3)=0,U76=INT(($Q$9-1)/2)),INDEX($B$5:$M$5,W76+1),""))</f>
        <v>Jul</v>
      </c>
      <c r="Z76" s="6">
        <f>0+$Q$20</f>
        <v>0</v>
      </c>
      <c r="AA76">
        <f>IF(OR(X76&lt;0),NA(),(INDEX($B$6:$M$20,($Q$3-1-0)*$Q$4+X76+1,0*$Q$5+W76+1)-0)/$Q$19*$Q$13)</f>
        <v>0.59723333333333339</v>
      </c>
      <c r="AB76" s="6">
        <f>1+$Q$20-(0+$Q$20+_xlfn.AGGREGATE(9,6,AA76:AA76))</f>
        <v>0.40276666666666661</v>
      </c>
      <c r="AC76">
        <f>IF(OR(X76&lt;0),NA(),(INDEX($B$6:$M$20,($Q$3-1-1)*$Q$4+X76+1,0*$Q$5+W76+1)-0)/$Q$19*$Q$13)</f>
        <v>0.56088000000000005</v>
      </c>
      <c r="AD76" s="6">
        <f>2+$Q$20-(1+$Q$20+_xlfn.AGGREGATE(9,6,AC76:AC76))</f>
        <v>0.43911999999999995</v>
      </c>
      <c r="AE76">
        <f>IF(OR(X76&lt;0),NA(),(INDEX($B$6:$M$20,($Q$3-1-2)*$Q$4+X76+1,0*$Q$5+W76+1)-0)/$Q$19*$Q$13)</f>
        <v>0.42612666666666671</v>
      </c>
      <c r="AF76" t="e">
        <f>IF(OR(Q76&lt;=0,S76&gt;=$Q$10),3,NA())</f>
        <v>#N/A</v>
      </c>
    </row>
    <row r="77" spans="16:41" x14ac:dyDescent="0.35">
      <c r="P77">
        <v>54</v>
      </c>
      <c r="Q77">
        <f>P77-$Q$12</f>
        <v>50</v>
      </c>
      <c r="R77">
        <f>IF(Q77&lt;=0,-1,INT((Q77-1)/($Q$10+$Q$11)))</f>
        <v>3</v>
      </c>
      <c r="S77">
        <f>IF(Q77&lt;=0,-1,MOD(Q77-1,($Q$10+$Q$11)))</f>
        <v>7</v>
      </c>
      <c r="T77">
        <f>IF(OR(S77&lt;0,S77&gt;=$Q$10),-1,INT(S77/$Q$9))</f>
        <v>7</v>
      </c>
      <c r="U77">
        <f>IF(OR(S77&lt;0,S77&gt;=$Q$10),-1,MOD(S77,$Q$9))</f>
        <v>0</v>
      </c>
      <c r="V77">
        <f>IF(OR(Q77&lt;=0,S77&lt;0,S77&gt;=$Q$10,R77&gt;=$Q$7),1,0)</f>
        <v>0</v>
      </c>
      <c r="W77">
        <f>IF(Q77&lt;=0,0,IF(S77&lt;$Q$10,T77,IF(S77=$Q$10,$Q$5-1,0)))</f>
        <v>7</v>
      </c>
      <c r="X77">
        <f>IF(Q77&lt;=0,0,IF(S77&lt;=$Q$10,R77,R77+1))</f>
        <v>3</v>
      </c>
      <c r="Y77" t="str">
        <f>IF(V77=1,"",IF(AND(MOD(W77,3)=0,U77=INT(($Q$9-1)/2)),INDEX($B$5:$M$5,W77+1),""))</f>
        <v/>
      </c>
      <c r="Z77" s="6">
        <f>0+$Q$20</f>
        <v>0</v>
      </c>
      <c r="AA77">
        <f>IF(OR(X77&lt;0),NA(),(INDEX($B$6:$M$20,($Q$3-1-0)*$Q$4+X77+1,0*$Q$5+W77+1)-0)/$Q$19*$Q$13)</f>
        <v>0.6429893333333333</v>
      </c>
      <c r="AB77" s="6">
        <f>1+$Q$20-(0+$Q$20+_xlfn.AGGREGATE(9,6,AA77:AA77))</f>
        <v>0.3570106666666667</v>
      </c>
      <c r="AC77">
        <f>IF(OR(X77&lt;0),NA(),(INDEX($B$6:$M$20,($Q$3-1-1)*$Q$4+X77+1,0*$Q$5+W77+1)-0)/$Q$19*$Q$13)</f>
        <v>0.50675999999999999</v>
      </c>
      <c r="AD77" s="6">
        <f>2+$Q$20-(1+$Q$20+_xlfn.AGGREGATE(9,6,AC77:AC77))</f>
        <v>0.49324000000000012</v>
      </c>
      <c r="AE77">
        <f>IF(OR(X77&lt;0),NA(),(INDEX($B$6:$M$20,($Q$3-1-2)*$Q$4+X77+1,0*$Q$5+W77+1)-0)/$Q$19*$Q$13)</f>
        <v>0.46893066666666661</v>
      </c>
      <c r="AF77" t="e">
        <f>IF(OR(Q77&lt;=0,S77&gt;=$Q$10),3,NA())</f>
        <v>#N/A</v>
      </c>
    </row>
    <row r="78" spans="16:41" x14ac:dyDescent="0.35">
      <c r="P78">
        <v>55</v>
      </c>
      <c r="Q78">
        <f>P78-$Q$12</f>
        <v>51</v>
      </c>
      <c r="R78">
        <f>IF(Q78&lt;=0,-1,INT((Q78-1)/($Q$10+$Q$11)))</f>
        <v>3</v>
      </c>
      <c r="S78">
        <f>IF(Q78&lt;=0,-1,MOD(Q78-1,($Q$10+$Q$11)))</f>
        <v>8</v>
      </c>
      <c r="T78">
        <f>IF(OR(S78&lt;0,S78&gt;=$Q$10),-1,INT(S78/$Q$9))</f>
        <v>8</v>
      </c>
      <c r="U78">
        <f>IF(OR(S78&lt;0,S78&gt;=$Q$10),-1,MOD(S78,$Q$9))</f>
        <v>0</v>
      </c>
      <c r="V78">
        <f>IF(OR(Q78&lt;=0,S78&lt;0,S78&gt;=$Q$10,R78&gt;=$Q$7),1,0)</f>
        <v>0</v>
      </c>
      <c r="W78">
        <f>IF(Q78&lt;=0,0,IF(S78&lt;$Q$10,T78,IF(S78=$Q$10,$Q$5-1,0)))</f>
        <v>8</v>
      </c>
      <c r="X78">
        <f>IF(Q78&lt;=0,0,IF(S78&lt;=$Q$10,R78,R78+1))</f>
        <v>3</v>
      </c>
      <c r="Y78" t="str">
        <f>IF(V78=1,"",IF(AND(MOD(W78,3)=0,U78=INT(($Q$9-1)/2)),INDEX($B$5:$M$5,W78+1),""))</f>
        <v/>
      </c>
      <c r="Z78" s="6">
        <f>0+$Q$20</f>
        <v>0</v>
      </c>
      <c r="AA78">
        <f>IF(OR(X78&lt;0),NA(),(INDEX($B$6:$M$20,($Q$3-1-0)*$Q$4+X78+1,0*$Q$5+W78+1)-0)/$Q$19*$Q$13)</f>
        <v>0.59039999999999992</v>
      </c>
      <c r="AB78" s="6">
        <f>1+$Q$20-(0+$Q$20+_xlfn.AGGREGATE(9,6,AA78:AA78))</f>
        <v>0.40960000000000008</v>
      </c>
      <c r="AC78">
        <f>IF(OR(X78&lt;0),NA(),(INDEX($B$6:$M$20,($Q$3-1-1)*$Q$4+X78+1,0*$Q$5+W78+1)-0)/$Q$19*$Q$13)</f>
        <v>0.55103999999999997</v>
      </c>
      <c r="AD78" s="6">
        <f>2+$Q$20-(1+$Q$20+_xlfn.AGGREGATE(9,6,AC78:AC78))</f>
        <v>0.44896000000000003</v>
      </c>
      <c r="AE78">
        <f>IF(OR(X78&lt;0),NA(),(INDEX($B$6:$M$20,($Q$3-1-2)*$Q$4+X78+1,0*$Q$5+W78+1)-0)/$Q$19*$Q$13)</f>
        <v>0.51168000000000002</v>
      </c>
      <c r="AF78" t="e">
        <f>IF(OR(Q78&lt;=0,S78&gt;=$Q$10),3,NA())</f>
        <v>#N/A</v>
      </c>
    </row>
    <row r="79" spans="16:41" x14ac:dyDescent="0.35">
      <c r="P79">
        <v>56</v>
      </c>
      <c r="Q79">
        <f>P79-$Q$12</f>
        <v>52</v>
      </c>
      <c r="R79">
        <f>IF(Q79&lt;=0,-1,INT((Q79-1)/($Q$10+$Q$11)))</f>
        <v>3</v>
      </c>
      <c r="S79">
        <f>IF(Q79&lt;=0,-1,MOD(Q79-1,($Q$10+$Q$11)))</f>
        <v>9</v>
      </c>
      <c r="T79">
        <f>IF(OR(S79&lt;0,S79&gt;=$Q$10),-1,INT(S79/$Q$9))</f>
        <v>9</v>
      </c>
      <c r="U79">
        <f>IF(OR(S79&lt;0,S79&gt;=$Q$10),-1,MOD(S79,$Q$9))</f>
        <v>0</v>
      </c>
      <c r="V79">
        <f>IF(OR(Q79&lt;=0,S79&lt;0,S79&gt;=$Q$10,R79&gt;=$Q$7),1,0)</f>
        <v>0</v>
      </c>
      <c r="W79">
        <f>IF(Q79&lt;=0,0,IF(S79&lt;$Q$10,T79,IF(S79=$Q$10,$Q$5-1,0)))</f>
        <v>9</v>
      </c>
      <c r="X79">
        <f>IF(Q79&lt;=0,0,IF(S79&lt;=$Q$10,R79,R79+1))</f>
        <v>3</v>
      </c>
      <c r="Y79" t="str">
        <f>IF(V79=1,"",IF(AND(MOD(W79,3)=0,U79=INT(($Q$9-1)/2)),INDEX($B$5:$M$5,W79+1),""))</f>
        <v>Oct</v>
      </c>
      <c r="Z79" s="6">
        <f>0+$Q$20</f>
        <v>0</v>
      </c>
      <c r="AA79">
        <f>IF(OR(X79&lt;0),NA(),(INDEX($B$6:$M$20,($Q$3-1-0)*$Q$4+X79+1,0*$Q$5+W79+1)-0)/$Q$19*$Q$13)</f>
        <v>0.63621066666666659</v>
      </c>
      <c r="AB79" s="6">
        <f>1+$Q$20-(0+$Q$20+_xlfn.AGGREGATE(9,6,AA79:AA79))</f>
        <v>0.36378933333333341</v>
      </c>
      <c r="AC79">
        <f>IF(OR(X79&lt;0),NA(),(INDEX($B$6:$M$20,($Q$3-1-1)*$Q$4+X79+1,0*$Q$5+W79+1)-0)/$Q$19*$Q$13)</f>
        <v>0.59531999999999996</v>
      </c>
      <c r="AD79" s="6">
        <f>2+$Q$20-(1+$Q$20+_xlfn.AGGREGATE(9,6,AC79:AC79))</f>
        <v>0.40467999999999993</v>
      </c>
      <c r="AE79">
        <f>IF(OR(X79&lt;0),NA(),(INDEX($B$6:$M$20,($Q$3-1-2)*$Q$4+X79+1,0*$Q$5+W79+1)-0)/$Q$19*$Q$13)</f>
        <v>0.45608399999999988</v>
      </c>
      <c r="AF79" t="e">
        <f>IF(OR(Q79&lt;=0,S79&gt;=$Q$10),3,NA())</f>
        <v>#N/A</v>
      </c>
    </row>
    <row r="80" spans="16:41" x14ac:dyDescent="0.35">
      <c r="P80">
        <v>57</v>
      </c>
      <c r="Q80">
        <f>P80-$Q$12</f>
        <v>53</v>
      </c>
      <c r="R80">
        <f>IF(Q80&lt;=0,-1,INT((Q80-1)/($Q$10+$Q$11)))</f>
        <v>3</v>
      </c>
      <c r="S80">
        <f>IF(Q80&lt;=0,-1,MOD(Q80-1,($Q$10+$Q$11)))</f>
        <v>10</v>
      </c>
      <c r="T80">
        <f>IF(OR(S80&lt;0,S80&gt;=$Q$10),-1,INT(S80/$Q$9))</f>
        <v>10</v>
      </c>
      <c r="U80">
        <f>IF(OR(S80&lt;0,S80&gt;=$Q$10),-1,MOD(S80,$Q$9))</f>
        <v>0</v>
      </c>
      <c r="V80">
        <f>IF(OR(Q80&lt;=0,S80&lt;0,S80&gt;=$Q$10,R80&gt;=$Q$7),1,0)</f>
        <v>0</v>
      </c>
      <c r="W80">
        <f>IF(Q80&lt;=0,0,IF(S80&lt;$Q$10,T80,IF(S80=$Q$10,$Q$5-1,0)))</f>
        <v>10</v>
      </c>
      <c r="X80">
        <f>IF(Q80&lt;=0,0,IF(S80&lt;=$Q$10,R80,R80+1))</f>
        <v>3</v>
      </c>
      <c r="Y80" t="str">
        <f>IF(V80=1,"",IF(AND(MOD(W80,3)=0,U80=INT(($Q$9-1)/2)),INDEX($B$5:$M$5,W80+1),""))</f>
        <v/>
      </c>
      <c r="Z80" s="6">
        <f>0+$Q$20</f>
        <v>0</v>
      </c>
      <c r="AA80">
        <f>IF(OR(X80&lt;0),NA(),(INDEX($B$6:$M$20,($Q$3-1-0)*$Q$4+X80+1,0*$Q$5+W80+1)-0)/$Q$19*$Q$13)</f>
        <v>0.68196666666666661</v>
      </c>
      <c r="AB80" s="6">
        <f>1+$Q$20-(0+$Q$20+_xlfn.AGGREGATE(9,6,AA80:AA80))</f>
        <v>0.31803333333333339</v>
      </c>
      <c r="AC80">
        <f>IF(OR(X80&lt;0),NA(),(INDEX($B$6:$M$20,($Q$3-1-1)*$Q$4+X80+1,0*$Q$5+W80+1)-0)/$Q$19*$Q$13)</f>
        <v>0.54120000000000001</v>
      </c>
      <c r="AD80" s="6">
        <f>2+$Q$20-(1+$Q$20+_xlfn.AGGREGATE(9,6,AC80:AC80))</f>
        <v>0.4588000000000001</v>
      </c>
      <c r="AE80">
        <f>IF(OR(X80&lt;0),NA(),(INDEX($B$6:$M$20,($Q$3-1-2)*$Q$4+X80+1,0*$Q$5+W80+1)-0)/$Q$19*$Q$13)</f>
        <v>0.49883333333333324</v>
      </c>
      <c r="AF80" t="e">
        <f>IF(OR(Q80&lt;=0,S80&gt;=$Q$10),3,NA())</f>
        <v>#N/A</v>
      </c>
    </row>
    <row r="81" spans="16:32" x14ac:dyDescent="0.35">
      <c r="P81">
        <v>58</v>
      </c>
      <c r="Q81">
        <f>P81-$Q$12</f>
        <v>54</v>
      </c>
      <c r="R81">
        <f>IF(Q81&lt;=0,-1,INT((Q81-1)/($Q$10+$Q$11)))</f>
        <v>3</v>
      </c>
      <c r="S81">
        <f>IF(Q81&lt;=0,-1,MOD(Q81-1,($Q$10+$Q$11)))</f>
        <v>11</v>
      </c>
      <c r="T81">
        <f>IF(OR(S81&lt;0,S81&gt;=$Q$10),-1,INT(S81/$Q$9))</f>
        <v>11</v>
      </c>
      <c r="U81">
        <f>IF(OR(S81&lt;0,S81&gt;=$Q$10),-1,MOD(S81,$Q$9))</f>
        <v>0</v>
      </c>
      <c r="V81">
        <f>IF(OR(Q81&lt;=0,S81&lt;0,S81&gt;=$Q$10,R81&gt;=$Q$7),1,0)</f>
        <v>0</v>
      </c>
      <c r="W81">
        <f>IF(Q81&lt;=0,0,IF(S81&lt;$Q$10,T81,IF(S81=$Q$10,$Q$5-1,0)))</f>
        <v>11</v>
      </c>
      <c r="X81">
        <f>IF(Q81&lt;=0,0,IF(S81&lt;=$Q$10,R81,R81+1))</f>
        <v>3</v>
      </c>
      <c r="Y81" t="str">
        <f>IF(V81=1,"",IF(AND(MOD(W81,3)=0,U81=INT(($Q$9-1)/2)),INDEX($B$5:$M$5,W81+1),""))</f>
        <v/>
      </c>
      <c r="Z81" s="6">
        <f>0+$Q$20</f>
        <v>0</v>
      </c>
      <c r="AA81">
        <f>IF(OR(X81&lt;0),NA(),(INDEX($B$6:$M$20,($Q$3-1-0)*$Q$4+X81+1,0*$Q$5+W81+1)-0)/$Q$19*$Q$13)</f>
        <v>0.6293226666666667</v>
      </c>
      <c r="AB81" s="6">
        <f>1+$Q$20-(0+$Q$20+_xlfn.AGGREGATE(9,6,AA81:AA81))</f>
        <v>0.3706773333333333</v>
      </c>
      <c r="AC81">
        <f>IF(OR(X81&lt;0),NA(),(INDEX($B$6:$M$20,($Q$3-1-1)*$Q$4+X81+1,0*$Q$5+W81+1)-0)/$Q$19*$Q$13)</f>
        <v>0.58547999999999989</v>
      </c>
      <c r="AD81" s="6">
        <f>2+$Q$20-(1+$Q$20+_xlfn.AGGREGATE(9,6,AC81:AC81))</f>
        <v>0.41452</v>
      </c>
      <c r="AE81">
        <f>IF(OR(X81&lt;0),NA(),(INDEX($B$6:$M$20,($Q$3-1-2)*$Q$4+X81+1,0*$Q$5+W81+1)-0)/$Q$19*$Q$13)</f>
        <v>0.54158266666666666</v>
      </c>
      <c r="AF81" t="e">
        <f>IF(OR(Q81&lt;=0,S81&gt;=$Q$10),3,NA())</f>
        <v>#N/A</v>
      </c>
    </row>
    <row r="82" spans="16:32" x14ac:dyDescent="0.35">
      <c r="P82">
        <v>59</v>
      </c>
      <c r="Q82">
        <f>P82-$Q$12</f>
        <v>55</v>
      </c>
      <c r="R82">
        <f>IF(Q82&lt;=0,-1,INT((Q82-1)/($Q$10+$Q$11)))</f>
        <v>3</v>
      </c>
      <c r="S82">
        <f>IF(Q82&lt;=0,-1,MOD(Q82-1,($Q$10+$Q$11)))</f>
        <v>12</v>
      </c>
      <c r="T82">
        <f>IF(OR(S82&lt;0,S82&gt;=$Q$10),-1,INT(S82/$Q$9))</f>
        <v>-1</v>
      </c>
      <c r="U82">
        <f>IF(OR(S82&lt;0,S82&gt;=$Q$10),-1,MOD(S82,$Q$9))</f>
        <v>-1</v>
      </c>
      <c r="V82">
        <f>IF(OR(Q82&lt;=0,S82&lt;0,S82&gt;=$Q$10,R82&gt;=$Q$7),1,0)</f>
        <v>1</v>
      </c>
      <c r="W82">
        <f>IF(Q82&lt;=0,0,IF(S82&lt;$Q$10,T82,IF(S82=$Q$10,$Q$5-1,0)))</f>
        <v>11</v>
      </c>
      <c r="X82">
        <f>IF(Q82&lt;=0,0,IF(S82&lt;=$Q$10,R82,R82+1))</f>
        <v>3</v>
      </c>
      <c r="Y82" t="str">
        <f>IF(V82=1,"",IF(AND(MOD(W82,3)=0,U82=INT(($Q$9-1)/2)),INDEX($B$5:$M$5,W82+1),""))</f>
        <v/>
      </c>
      <c r="Z82" s="6">
        <f>0+$Q$20</f>
        <v>0</v>
      </c>
      <c r="AA82">
        <f>IF(OR(X82&lt;0),NA(),(INDEX($B$6:$M$20,($Q$3-1-0)*$Q$4+X82+1,0*$Q$5+W82+1)-0)/$Q$19*$Q$13)</f>
        <v>0.6293226666666667</v>
      </c>
      <c r="AB82" s="6">
        <f>1+$Q$20-(0+$Q$20+_xlfn.AGGREGATE(9,6,AA82:AA82))</f>
        <v>0.3706773333333333</v>
      </c>
      <c r="AC82">
        <f>IF(OR(X82&lt;0),NA(),(INDEX($B$6:$M$20,($Q$3-1-1)*$Q$4+X82+1,0*$Q$5+W82+1)-0)/$Q$19*$Q$13)</f>
        <v>0.58547999999999989</v>
      </c>
      <c r="AD82" s="6">
        <f>2+$Q$20-(1+$Q$20+_xlfn.AGGREGATE(9,6,AC82:AC82))</f>
        <v>0.41452</v>
      </c>
      <c r="AE82">
        <f>IF(OR(X82&lt;0),NA(),(INDEX($B$6:$M$20,($Q$3-1-2)*$Q$4+X82+1,0*$Q$5+W82+1)-0)/$Q$19*$Q$13)</f>
        <v>0.54158266666666666</v>
      </c>
      <c r="AF82">
        <f>IF(OR(Q82&lt;=0,S82&gt;=$Q$10),3,NA())</f>
        <v>3</v>
      </c>
    </row>
    <row r="83" spans="16:32" x14ac:dyDescent="0.35">
      <c r="P83">
        <v>60</v>
      </c>
      <c r="Q83">
        <f>P83-$Q$12</f>
        <v>56</v>
      </c>
      <c r="R83">
        <f>IF(Q83&lt;=0,-1,INT((Q83-1)/($Q$10+$Q$11)))</f>
        <v>3</v>
      </c>
      <c r="S83">
        <f>IF(Q83&lt;=0,-1,MOD(Q83-1,($Q$10+$Q$11)))</f>
        <v>13</v>
      </c>
      <c r="T83">
        <f>IF(OR(S83&lt;0,S83&gt;=$Q$10),-1,INT(S83/$Q$9))</f>
        <v>-1</v>
      </c>
      <c r="U83">
        <f>IF(OR(S83&lt;0,S83&gt;=$Q$10),-1,MOD(S83,$Q$9))</f>
        <v>-1</v>
      </c>
      <c r="V83">
        <f>IF(OR(Q83&lt;=0,S83&lt;0,S83&gt;=$Q$10,R83&gt;=$Q$7),1,0)</f>
        <v>1</v>
      </c>
      <c r="W83">
        <f>IF(Q83&lt;=0,0,IF(S83&lt;$Q$10,T83,IF(S83=$Q$10,$Q$5-1,0)))</f>
        <v>0</v>
      </c>
      <c r="X83">
        <f>IF(Q83&lt;=0,0,IF(S83&lt;=$Q$10,R83,R83+1))</f>
        <v>4</v>
      </c>
      <c r="Y83" t="str">
        <f>IF(V83=1,"",IF(AND(MOD(W83,3)=0,U83=INT(($Q$9-1)/2)),INDEX($B$5:$M$5,W83+1),""))</f>
        <v/>
      </c>
      <c r="Z83" s="6">
        <f>0+$Q$20</f>
        <v>0</v>
      </c>
      <c r="AA83">
        <f>IF(OR(X83&lt;0),NA(),(INDEX($B$6:$M$20,($Q$3-1-0)*$Q$4+X83+1,0*$Q$5+W83+1)-0)/$Q$19*$Q$13)</f>
        <v>0.43186666666666662</v>
      </c>
      <c r="AB83" s="6">
        <f>1+$Q$20-(0+$Q$20+_xlfn.AGGREGATE(9,6,AA83:AA83))</f>
        <v>0.56813333333333338</v>
      </c>
      <c r="AC83">
        <f>IF(OR(X83&lt;0),NA(),(INDEX($B$6:$M$20,($Q$3-1-1)*$Q$4+X83+1,0*$Q$5+W83+1)-0)/$Q$19*$Q$13)</f>
        <v>0.30613333333333331</v>
      </c>
      <c r="AD83" s="6">
        <f>2+$Q$20-(1+$Q$20+_xlfn.AGGREGATE(9,6,AC83:AC83))</f>
        <v>0.69386666666666663</v>
      </c>
      <c r="AE83">
        <f>IF(OR(X83&lt;0),NA(),(INDEX($B$6:$M$20,($Q$3-1-2)*$Q$4+X83+1,0*$Q$5+W83+1)-0)/$Q$19*$Q$13)</f>
        <v>0.27879999999999999</v>
      </c>
      <c r="AF83">
        <f>IF(OR(Q83&lt;=0,S83&gt;=$Q$10),3,NA())</f>
        <v>3</v>
      </c>
    </row>
    <row r="84" spans="16:32" x14ac:dyDescent="0.35">
      <c r="P84">
        <v>61</v>
      </c>
      <c r="Q84">
        <f>P84-$Q$12</f>
        <v>57</v>
      </c>
      <c r="R84">
        <f>IF(Q84&lt;=0,-1,INT((Q84-1)/($Q$10+$Q$11)))</f>
        <v>4</v>
      </c>
      <c r="S84">
        <f>IF(Q84&lt;=0,-1,MOD(Q84-1,($Q$10+$Q$11)))</f>
        <v>0</v>
      </c>
      <c r="T84">
        <f>IF(OR(S84&lt;0,S84&gt;=$Q$10),-1,INT(S84/$Q$9))</f>
        <v>0</v>
      </c>
      <c r="U84">
        <f>IF(OR(S84&lt;0,S84&gt;=$Q$10),-1,MOD(S84,$Q$9))</f>
        <v>0</v>
      </c>
      <c r="V84">
        <f>IF(OR(Q84&lt;=0,S84&lt;0,S84&gt;=$Q$10,R84&gt;=$Q$7),1,0)</f>
        <v>0</v>
      </c>
      <c r="W84">
        <f>IF(Q84&lt;=0,0,IF(S84&lt;$Q$10,T84,IF(S84=$Q$10,$Q$5-1,0)))</f>
        <v>0</v>
      </c>
      <c r="X84">
        <f>IF(Q84&lt;=0,0,IF(S84&lt;=$Q$10,R84,R84+1))</f>
        <v>4</v>
      </c>
      <c r="Y84" t="str">
        <f>IF(V84=1,"",IF(AND(MOD(W84,3)=0,U84=INT(($Q$9-1)/2)),INDEX($B$5:$M$5,W84+1),""))</f>
        <v>Jan</v>
      </c>
      <c r="Z84" s="6">
        <f>0+$Q$20</f>
        <v>0</v>
      </c>
      <c r="AA84">
        <f>IF(OR(X84&lt;0),NA(),(INDEX($B$6:$M$20,($Q$3-1-0)*$Q$4+X84+1,0*$Q$5+W84+1)-0)/$Q$19*$Q$13)</f>
        <v>0.43186666666666662</v>
      </c>
      <c r="AB84" s="6">
        <f>1+$Q$20-(0+$Q$20+_xlfn.AGGREGATE(9,6,AA84:AA84))</f>
        <v>0.56813333333333338</v>
      </c>
      <c r="AC84">
        <f>IF(OR(X84&lt;0),NA(),(INDEX($B$6:$M$20,($Q$3-1-1)*$Q$4+X84+1,0*$Q$5+W84+1)-0)/$Q$19*$Q$13)</f>
        <v>0.30613333333333331</v>
      </c>
      <c r="AD84" s="6">
        <f>2+$Q$20-(1+$Q$20+_xlfn.AGGREGATE(9,6,AC84:AC84))</f>
        <v>0.69386666666666663</v>
      </c>
      <c r="AE84">
        <f>IF(OR(X84&lt;0),NA(),(INDEX($B$6:$M$20,($Q$3-1-2)*$Q$4+X84+1,0*$Q$5+W84+1)-0)/$Q$19*$Q$13)</f>
        <v>0.27879999999999999</v>
      </c>
      <c r="AF84" t="e">
        <f>IF(OR(Q84&lt;=0,S84&gt;=$Q$10),3,NA())</f>
        <v>#N/A</v>
      </c>
    </row>
    <row r="85" spans="16:32" x14ac:dyDescent="0.35">
      <c r="P85">
        <v>62</v>
      </c>
      <c r="Q85">
        <f>P85-$Q$12</f>
        <v>58</v>
      </c>
      <c r="R85">
        <f>IF(Q85&lt;=0,-1,INT((Q85-1)/($Q$10+$Q$11)))</f>
        <v>4</v>
      </c>
      <c r="S85">
        <f>IF(Q85&lt;=0,-1,MOD(Q85-1,($Q$10+$Q$11)))</f>
        <v>1</v>
      </c>
      <c r="T85">
        <f>IF(OR(S85&lt;0,S85&gt;=$Q$10),-1,INT(S85/$Q$9))</f>
        <v>1</v>
      </c>
      <c r="U85">
        <f>IF(OR(S85&lt;0,S85&gt;=$Q$10),-1,MOD(S85,$Q$9))</f>
        <v>0</v>
      </c>
      <c r="V85">
        <f>IF(OR(Q85&lt;=0,S85&lt;0,S85&gt;=$Q$10,R85&gt;=$Q$7),1,0)</f>
        <v>0</v>
      </c>
      <c r="W85">
        <f>IF(Q85&lt;=0,0,IF(S85&lt;$Q$10,T85,IF(S85=$Q$10,$Q$5-1,0)))</f>
        <v>1</v>
      </c>
      <c r="X85">
        <f>IF(Q85&lt;=0,0,IF(S85&lt;=$Q$10,R85,R85+1))</f>
        <v>4</v>
      </c>
      <c r="Y85" t="str">
        <f>IF(V85=1,"",IF(AND(MOD(W85,3)=0,U85=INT(($Q$9-1)/2)),INDEX($B$5:$M$5,W85+1),""))</f>
        <v/>
      </c>
      <c r="Z85" s="6">
        <f>0+$Q$20</f>
        <v>0</v>
      </c>
      <c r="AA85">
        <f>IF(OR(X85&lt;0),NA(),(INDEX($B$6:$M$20,($Q$3-1-0)*$Q$4+X85+1,0*$Q$5+W85+1)-0)/$Q$19*$Q$13)</f>
        <v>0.37621599999999999</v>
      </c>
      <c r="AB85" s="6">
        <f>1+$Q$20-(0+$Q$20+_xlfn.AGGREGATE(9,6,AA85:AA85))</f>
        <v>0.62378400000000001</v>
      </c>
      <c r="AC85">
        <f>IF(OR(X85&lt;0),NA(),(INDEX($B$6:$M$20,($Q$3-1-1)*$Q$4+X85+1,0*$Q$5+W85+1)-0)/$Q$19*$Q$13)</f>
        <v>0.34740666666666664</v>
      </c>
      <c r="AD85" s="6">
        <f>2+$Q$20-(1+$Q$20+_xlfn.AGGREGATE(9,6,AC85:AC85))</f>
        <v>0.65259333333333336</v>
      </c>
      <c r="AE85">
        <f>IF(OR(X85&lt;0),NA(),(INDEX($B$6:$M$20,($Q$3-1-2)*$Q$4+X85+1,0*$Q$5+W85+1)-0)/$Q$19*$Q$13)</f>
        <v>0.31859733333333329</v>
      </c>
      <c r="AF85" t="e">
        <f>IF(OR(Q85&lt;=0,S85&gt;=$Q$10),3,NA())</f>
        <v>#N/A</v>
      </c>
    </row>
    <row r="86" spans="16:32" x14ac:dyDescent="0.35">
      <c r="P86">
        <v>63</v>
      </c>
      <c r="Q86">
        <f>P86-$Q$12</f>
        <v>59</v>
      </c>
      <c r="R86">
        <f>IF(Q86&lt;=0,-1,INT((Q86-1)/($Q$10+$Q$11)))</f>
        <v>4</v>
      </c>
      <c r="S86">
        <f>IF(Q86&lt;=0,-1,MOD(Q86-1,($Q$10+$Q$11)))</f>
        <v>2</v>
      </c>
      <c r="T86">
        <f>IF(OR(S86&lt;0,S86&gt;=$Q$10),-1,INT(S86/$Q$9))</f>
        <v>2</v>
      </c>
      <c r="U86">
        <f>IF(OR(S86&lt;0,S86&gt;=$Q$10),-1,MOD(S86,$Q$9))</f>
        <v>0</v>
      </c>
      <c r="V86">
        <f>IF(OR(Q86&lt;=0,S86&lt;0,S86&gt;=$Q$10,R86&gt;=$Q$7),1,0)</f>
        <v>0</v>
      </c>
      <c r="W86">
        <f>IF(Q86&lt;=0,0,IF(S86&lt;$Q$10,T86,IF(S86=$Q$10,$Q$5-1,0)))</f>
        <v>2</v>
      </c>
      <c r="X86">
        <f>IF(Q86&lt;=0,0,IF(S86&lt;=$Q$10,R86,R86+1))</f>
        <v>4</v>
      </c>
      <c r="Y86" t="str">
        <f>IF(V86=1,"",IF(AND(MOD(W86,3)=0,U86=INT(($Q$9-1)/2)),INDEX($B$5:$M$5,W86+1),""))</f>
        <v/>
      </c>
      <c r="Z86" s="6">
        <f>0+$Q$20</f>
        <v>0</v>
      </c>
      <c r="AA86">
        <f>IF(OR(X86&lt;0),NA(),(INDEX($B$6:$M$20,($Q$3-1-0)*$Q$4+X86+1,0*$Q$5+W86+1)-0)/$Q$19*$Q$13)</f>
        <v>0.41902</v>
      </c>
      <c r="AB86" s="6">
        <f>1+$Q$20-(0+$Q$20+_xlfn.AGGREGATE(9,6,AA86:AA86))</f>
        <v>0.58098000000000005</v>
      </c>
      <c r="AC86">
        <f>IF(OR(X86&lt;0),NA(),(INDEX($B$6:$M$20,($Q$3-1-1)*$Q$4+X86+1,0*$Q$5+W86+1)-0)/$Q$19*$Q$13)</f>
        <v>0.38867999999999997</v>
      </c>
      <c r="AD86" s="6">
        <f>2+$Q$20-(1+$Q$20+_xlfn.AGGREGATE(9,6,AC86:AC86))</f>
        <v>0.61132000000000009</v>
      </c>
      <c r="AE86">
        <f>IF(OR(X86&lt;0),NA(),(INDEX($B$6:$M$20,($Q$3-1-2)*$Q$4+X86+1,0*$Q$5+W86+1)-0)/$Q$19*$Q$13)</f>
        <v>0.25994</v>
      </c>
      <c r="AF86" t="e">
        <f>IF(OR(Q86&lt;=0,S86&gt;=$Q$10),3,NA())</f>
        <v>#N/A</v>
      </c>
    </row>
    <row r="87" spans="16:32" x14ac:dyDescent="0.35">
      <c r="P87">
        <v>64</v>
      </c>
      <c r="Q87">
        <f>P87-$Q$12</f>
        <v>60</v>
      </c>
      <c r="R87">
        <f>IF(Q87&lt;=0,-1,INT((Q87-1)/($Q$10+$Q$11)))</f>
        <v>4</v>
      </c>
      <c r="S87">
        <f>IF(Q87&lt;=0,-1,MOD(Q87-1,($Q$10+$Q$11)))</f>
        <v>3</v>
      </c>
      <c r="T87">
        <f>IF(OR(S87&lt;0,S87&gt;=$Q$10),-1,INT(S87/$Q$9))</f>
        <v>3</v>
      </c>
      <c r="U87">
        <f>IF(OR(S87&lt;0,S87&gt;=$Q$10),-1,MOD(S87,$Q$9))</f>
        <v>0</v>
      </c>
      <c r="V87">
        <f>IF(OR(Q87&lt;=0,S87&lt;0,S87&gt;=$Q$10,R87&gt;=$Q$7),1,0)</f>
        <v>0</v>
      </c>
      <c r="W87">
        <f>IF(Q87&lt;=0,0,IF(S87&lt;$Q$10,T87,IF(S87=$Q$10,$Q$5-1,0)))</f>
        <v>3</v>
      </c>
      <c r="X87">
        <f>IF(Q87&lt;=0,0,IF(S87&lt;=$Q$10,R87,R87+1))</f>
        <v>4</v>
      </c>
      <c r="Y87" t="str">
        <f>IF(V87=1,"",IF(AND(MOD(W87,3)=0,U87=INT(($Q$9-1)/2)),INDEX($B$5:$M$5,W87+1),""))</f>
        <v>Apr</v>
      </c>
      <c r="Z87" s="6">
        <f>0+$Q$20</f>
        <v>0</v>
      </c>
      <c r="AA87">
        <f>IF(OR(X87&lt;0),NA(),(INDEX($B$6:$M$20,($Q$3-1-0)*$Q$4+X87+1,0*$Q$5+W87+1)-0)/$Q$19*$Q$13)</f>
        <v>0.4618239999999999</v>
      </c>
      <c r="AB87" s="6">
        <f>1+$Q$20-(0+$Q$20+_xlfn.AGGREGATE(9,6,AA87:AA87))</f>
        <v>0.5381760000000001</v>
      </c>
      <c r="AC87">
        <f>IF(OR(X87&lt;0),NA(),(INDEX($B$6:$M$20,($Q$3-1-1)*$Q$4+X87+1,0*$Q$5+W87+1)-0)/$Q$19*$Q$13)</f>
        <v>0.33155333333333331</v>
      </c>
      <c r="AD87" s="6">
        <f>2+$Q$20-(1+$Q$20+_xlfn.AGGREGATE(9,6,AC87:AC87))</f>
        <v>0.66844666666666663</v>
      </c>
      <c r="AE87">
        <f>IF(OR(X87&lt;0),NA(),(INDEX($B$6:$M$20,($Q$3-1-2)*$Q$4+X87+1,0*$Q$5+W87+1)-0)/$Q$19*$Q$13)</f>
        <v>0.29968266666666671</v>
      </c>
      <c r="AF87" t="e">
        <f>IF(OR(Q87&lt;=0,S87&gt;=$Q$10),3,NA())</f>
        <v>#N/A</v>
      </c>
    </row>
    <row r="88" spans="16:32" x14ac:dyDescent="0.35">
      <c r="P88">
        <v>65</v>
      </c>
      <c r="Q88">
        <f>P88-$Q$12</f>
        <v>61</v>
      </c>
      <c r="R88">
        <f>IF(Q88&lt;=0,-1,INT((Q88-1)/($Q$10+$Q$11)))</f>
        <v>4</v>
      </c>
      <c r="S88">
        <f>IF(Q88&lt;=0,-1,MOD(Q88-1,($Q$10+$Q$11)))</f>
        <v>4</v>
      </c>
      <c r="T88">
        <f>IF(OR(S88&lt;0,S88&gt;=$Q$10),-1,INT(S88/$Q$9))</f>
        <v>4</v>
      </c>
      <c r="U88">
        <f>IF(OR(S88&lt;0,S88&gt;=$Q$10),-1,MOD(S88,$Q$9))</f>
        <v>0</v>
      </c>
      <c r="V88">
        <f>IF(OR(Q88&lt;=0,S88&lt;0,S88&gt;=$Q$10,R88&gt;=$Q$7),1,0)</f>
        <v>0</v>
      </c>
      <c r="W88">
        <f>IF(Q88&lt;=0,0,IF(S88&lt;$Q$10,T88,IF(S88=$Q$10,$Q$5-1,0)))</f>
        <v>4</v>
      </c>
      <c r="X88">
        <f>IF(Q88&lt;=0,0,IF(S88&lt;=$Q$10,R88,R88+1))</f>
        <v>4</v>
      </c>
      <c r="Y88" t="str">
        <f>IF(V88=1,"",IF(AND(MOD(W88,3)=0,U88=INT(($Q$9-1)/2)),INDEX($B$5:$M$5,W88+1),""))</f>
        <v/>
      </c>
      <c r="Z88" s="6">
        <f>0+$Q$20</f>
        <v>0</v>
      </c>
      <c r="AA88">
        <f>IF(OR(X88&lt;0),NA(),(INDEX($B$6:$M$20,($Q$3-1-0)*$Q$4+X88+1,0*$Q$5+W88+1)-0)/$Q$19*$Q$13)</f>
        <v>0.40617333333333333</v>
      </c>
      <c r="AB88" s="6">
        <f>1+$Q$20-(0+$Q$20+_xlfn.AGGREGATE(9,6,AA88:AA88))</f>
        <v>0.59382666666666672</v>
      </c>
      <c r="AC88">
        <f>IF(OR(X88&lt;0),NA(),(INDEX($B$6:$M$20,($Q$3-1-1)*$Q$4+X88+1,0*$Q$5+W88+1)-0)/$Q$19*$Q$13)</f>
        <v>0.37282666666666664</v>
      </c>
      <c r="AD88" s="6">
        <f>2+$Q$20-(1+$Q$20+_xlfn.AGGREGATE(9,6,AC88:AC88))</f>
        <v>0.62717333333333336</v>
      </c>
      <c r="AE88">
        <f>IF(OR(X88&lt;0),NA(),(INDEX($B$6:$M$20,($Q$3-1-2)*$Q$4+X88+1,0*$Q$5+W88+1)-0)/$Q$19*$Q$13)</f>
        <v>0.33947999999999995</v>
      </c>
      <c r="AF88" t="e">
        <f>IF(OR(Q88&lt;=0,S88&gt;=$Q$10),3,NA())</f>
        <v>#N/A</v>
      </c>
    </row>
    <row r="89" spans="16:32" x14ac:dyDescent="0.35">
      <c r="P89">
        <v>66</v>
      </c>
      <c r="Q89">
        <f>P89-$Q$12</f>
        <v>62</v>
      </c>
      <c r="R89">
        <f>IF(Q89&lt;=0,-1,INT((Q89-1)/($Q$10+$Q$11)))</f>
        <v>4</v>
      </c>
      <c r="S89">
        <f>IF(Q89&lt;=0,-1,MOD(Q89-1,($Q$10+$Q$11)))</f>
        <v>5</v>
      </c>
      <c r="T89">
        <f>IF(OR(S89&lt;0,S89&gt;=$Q$10),-1,INT(S89/$Q$9))</f>
        <v>5</v>
      </c>
      <c r="U89">
        <f>IF(OR(S89&lt;0,S89&gt;=$Q$10),-1,MOD(S89,$Q$9))</f>
        <v>0</v>
      </c>
      <c r="V89">
        <f>IF(OR(Q89&lt;=0,S89&lt;0,S89&gt;=$Q$10,R89&gt;=$Q$7),1,0)</f>
        <v>0</v>
      </c>
      <c r="W89">
        <f>IF(Q89&lt;=0,0,IF(S89&lt;$Q$10,T89,IF(S89=$Q$10,$Q$5-1,0)))</f>
        <v>5</v>
      </c>
      <c r="X89">
        <f>IF(Q89&lt;=0,0,IF(S89&lt;=$Q$10,R89,R89+1))</f>
        <v>4</v>
      </c>
      <c r="Y89" t="str">
        <f>IF(V89=1,"",IF(AND(MOD(W89,3)=0,U89=INT(($Q$9-1)/2)),INDEX($B$5:$M$5,W89+1),""))</f>
        <v/>
      </c>
      <c r="Z89" s="6">
        <f>0+$Q$20</f>
        <v>0</v>
      </c>
      <c r="AA89">
        <f>IF(OR(X89&lt;0),NA(),(INDEX($B$6:$M$20,($Q$3-1-0)*$Q$4+X89+1,0*$Q$5+W89+1)-0)/$Q$19*$Q$13)</f>
        <v>0.44892266666666664</v>
      </c>
      <c r="AB89" s="6">
        <f>1+$Q$20-(0+$Q$20+_xlfn.AGGREGATE(9,6,AA89:AA89))</f>
        <v>0.55107733333333342</v>
      </c>
      <c r="AC89">
        <f>IF(OR(X89&lt;0),NA(),(INDEX($B$6:$M$20,($Q$3-1-1)*$Q$4+X89+1,0*$Q$5+W89+1)-0)/$Q$19*$Q$13)</f>
        <v>0.41409999999999997</v>
      </c>
      <c r="AD89" s="6">
        <f>2+$Q$20-(1+$Q$20+_xlfn.AGGREGATE(9,6,AC89:AC89))</f>
        <v>0.58590000000000009</v>
      </c>
      <c r="AE89">
        <f>IF(OR(X89&lt;0),NA(),(INDEX($B$6:$M$20,($Q$3-1-2)*$Q$4+X89+1,0*$Q$5+W89+1)-0)/$Q$19*$Q$13)</f>
        <v>0.28087733333333331</v>
      </c>
      <c r="AF89" t="e">
        <f>IF(OR(Q89&lt;=0,S89&gt;=$Q$10),3,NA())</f>
        <v>#N/A</v>
      </c>
    </row>
    <row r="90" spans="16:32" x14ac:dyDescent="0.35">
      <c r="P90">
        <v>67</v>
      </c>
      <c r="Q90">
        <f>P90-$Q$12</f>
        <v>63</v>
      </c>
      <c r="R90">
        <f>IF(Q90&lt;=0,-1,INT((Q90-1)/($Q$10+$Q$11)))</f>
        <v>4</v>
      </c>
      <c r="S90">
        <f>IF(Q90&lt;=0,-1,MOD(Q90-1,($Q$10+$Q$11)))</f>
        <v>6</v>
      </c>
      <c r="T90">
        <f>IF(OR(S90&lt;0,S90&gt;=$Q$10),-1,INT(S90/$Q$9))</f>
        <v>6</v>
      </c>
      <c r="U90">
        <f>IF(OR(S90&lt;0,S90&gt;=$Q$10),-1,MOD(S90,$Q$9))</f>
        <v>0</v>
      </c>
      <c r="V90">
        <f>IF(OR(Q90&lt;=0,S90&lt;0,S90&gt;=$Q$10,R90&gt;=$Q$7),1,0)</f>
        <v>0</v>
      </c>
      <c r="W90">
        <f>IF(Q90&lt;=0,0,IF(S90&lt;$Q$10,T90,IF(S90=$Q$10,$Q$5-1,0)))</f>
        <v>6</v>
      </c>
      <c r="X90">
        <f>IF(Q90&lt;=0,0,IF(S90&lt;=$Q$10,R90,R90+1))</f>
        <v>4</v>
      </c>
      <c r="Y90" t="str">
        <f>IF(V90=1,"",IF(AND(MOD(W90,3)=0,U90=INT(($Q$9-1)/2)),INDEX($B$5:$M$5,W90+1),""))</f>
        <v>Jul</v>
      </c>
      <c r="Z90" s="6">
        <f>0+$Q$20</f>
        <v>0</v>
      </c>
      <c r="AA90">
        <f>IF(OR(X90&lt;0),NA(),(INDEX($B$6:$M$20,($Q$3-1-0)*$Q$4+X90+1,0*$Q$5+W90+1)-0)/$Q$19*$Q$13)</f>
        <v>0.49172666666666665</v>
      </c>
      <c r="AB90" s="6">
        <f>1+$Q$20-(0+$Q$20+_xlfn.AGGREGATE(9,6,AA90:AA90))</f>
        <v>0.50827333333333335</v>
      </c>
      <c r="AC90">
        <f>IF(OR(X90&lt;0),NA(),(INDEX($B$6:$M$20,($Q$3-1-1)*$Q$4+X90+1,0*$Q$5+W90+1)-0)/$Q$19*$Q$13)</f>
        <v>0.35697333333333331</v>
      </c>
      <c r="AD90" s="6">
        <f>2+$Q$20-(1+$Q$20+_xlfn.AGGREGATE(9,6,AC90:AC90))</f>
        <v>0.64302666666666664</v>
      </c>
      <c r="AE90">
        <f>IF(OR(X90&lt;0),NA(),(INDEX($B$6:$M$20,($Q$3-1-2)*$Q$4+X90+1,0*$Q$5+W90+1)-0)/$Q$19*$Q$13)</f>
        <v>0.32062000000000002</v>
      </c>
      <c r="AF90" t="e">
        <f>IF(OR(Q90&lt;=0,S90&gt;=$Q$10),3,NA())</f>
        <v>#N/A</v>
      </c>
    </row>
    <row r="91" spans="16:32" x14ac:dyDescent="0.35">
      <c r="P91">
        <v>68</v>
      </c>
      <c r="Q91">
        <f>P91-$Q$12</f>
        <v>64</v>
      </c>
      <c r="R91">
        <f>IF(Q91&lt;=0,-1,INT((Q91-1)/($Q$10+$Q$11)))</f>
        <v>4</v>
      </c>
      <c r="S91">
        <f>IF(Q91&lt;=0,-1,MOD(Q91-1,($Q$10+$Q$11)))</f>
        <v>7</v>
      </c>
      <c r="T91">
        <f>IF(OR(S91&lt;0,S91&gt;=$Q$10),-1,INT(S91/$Q$9))</f>
        <v>7</v>
      </c>
      <c r="U91">
        <f>IF(OR(S91&lt;0,S91&gt;=$Q$10),-1,MOD(S91,$Q$9))</f>
        <v>0</v>
      </c>
      <c r="V91">
        <f>IF(OR(Q91&lt;=0,S91&lt;0,S91&gt;=$Q$10,R91&gt;=$Q$7),1,0)</f>
        <v>0</v>
      </c>
      <c r="W91">
        <f>IF(Q91&lt;=0,0,IF(S91&lt;$Q$10,T91,IF(S91=$Q$10,$Q$5-1,0)))</f>
        <v>7</v>
      </c>
      <c r="X91">
        <f>IF(Q91&lt;=0,0,IF(S91&lt;=$Q$10,R91,R91+1))</f>
        <v>4</v>
      </c>
      <c r="Y91" t="str">
        <f>IF(V91=1,"",IF(AND(MOD(W91,3)=0,U91=INT(($Q$9-1)/2)),INDEX($B$5:$M$5,W91+1),""))</f>
        <v/>
      </c>
      <c r="Z91" s="6">
        <f>0+$Q$20</f>
        <v>0</v>
      </c>
      <c r="AA91">
        <f>IF(OR(X91&lt;0),NA(),(INDEX($B$6:$M$20,($Q$3-1-0)*$Q$4+X91+1,0*$Q$5+W91+1)-0)/$Q$19*$Q$13)</f>
        <v>0.43613066666666661</v>
      </c>
      <c r="AB91" s="6">
        <f>1+$Q$20-(0+$Q$20+_xlfn.AGGREGATE(9,6,AA91:AA91))</f>
        <v>0.56386933333333333</v>
      </c>
      <c r="AC91">
        <f>IF(OR(X91&lt;0),NA(),(INDEX($B$6:$M$20,($Q$3-1-1)*$Q$4+X91+1,0*$Q$5+W91+1)-0)/$Q$19*$Q$13)</f>
        <v>0.39824666666666664</v>
      </c>
      <c r="AD91" s="6">
        <f>2+$Q$20-(1+$Q$20+_xlfn.AGGREGATE(9,6,AC91:AC91))</f>
        <v>0.60175333333333336</v>
      </c>
      <c r="AE91">
        <f>IF(OR(X91&lt;0),NA(),(INDEX($B$6:$M$20,($Q$3-1-2)*$Q$4+X91+1,0*$Q$5+W91+1)-0)/$Q$19*$Q$13)</f>
        <v>0.36036266666666666</v>
      </c>
      <c r="AF91" t="e">
        <f>IF(OR(Q91&lt;=0,S91&gt;=$Q$10),3,NA())</f>
        <v>#N/A</v>
      </c>
    </row>
    <row r="92" spans="16:32" x14ac:dyDescent="0.35">
      <c r="P92">
        <v>69</v>
      </c>
      <c r="Q92">
        <f>P92-$Q$12</f>
        <v>65</v>
      </c>
      <c r="R92">
        <f>IF(Q92&lt;=0,-1,INT((Q92-1)/($Q$10+$Q$11)))</f>
        <v>4</v>
      </c>
      <c r="S92">
        <f>IF(Q92&lt;=0,-1,MOD(Q92-1,($Q$10+$Q$11)))</f>
        <v>8</v>
      </c>
      <c r="T92">
        <f>IF(OR(S92&lt;0,S92&gt;=$Q$10),-1,INT(S92/$Q$9))</f>
        <v>8</v>
      </c>
      <c r="U92">
        <f>IF(OR(S92&lt;0,S92&gt;=$Q$10),-1,MOD(S92,$Q$9))</f>
        <v>0</v>
      </c>
      <c r="V92">
        <f>IF(OR(Q92&lt;=0,S92&lt;0,S92&gt;=$Q$10,R92&gt;=$Q$7),1,0)</f>
        <v>0</v>
      </c>
      <c r="W92">
        <f>IF(Q92&lt;=0,0,IF(S92&lt;$Q$10,T92,IF(S92=$Q$10,$Q$5-1,0)))</f>
        <v>8</v>
      </c>
      <c r="X92">
        <f>IF(Q92&lt;=0,0,IF(S92&lt;=$Q$10,R92,R92+1))</f>
        <v>4</v>
      </c>
      <c r="Y92" t="str">
        <f>IF(V92=1,"",IF(AND(MOD(W92,3)=0,U92=INT(($Q$9-1)/2)),INDEX($B$5:$M$5,W92+1),""))</f>
        <v/>
      </c>
      <c r="Z92" s="6">
        <f>0+$Q$20</f>
        <v>0</v>
      </c>
      <c r="AA92">
        <f>IF(OR(X92&lt;0),NA(),(INDEX($B$6:$M$20,($Q$3-1-0)*$Q$4+X92+1,0*$Q$5+W92+1)-0)/$Q$19*$Q$13)</f>
        <v>0.47887999999999992</v>
      </c>
      <c r="AB92" s="6">
        <f>1+$Q$20-(0+$Q$20+_xlfn.AGGREGATE(9,6,AA92:AA92))</f>
        <v>0.52112000000000003</v>
      </c>
      <c r="AC92">
        <f>IF(OR(X92&lt;0),NA(),(INDEX($B$6:$M$20,($Q$3-1-1)*$Q$4+X92+1,0*$Q$5+W92+1)-0)/$Q$19*$Q$13)</f>
        <v>0.43952000000000002</v>
      </c>
      <c r="AD92" s="6">
        <f>2+$Q$20-(1+$Q$20+_xlfn.AGGREGATE(9,6,AC92:AC92))</f>
        <v>0.56048000000000009</v>
      </c>
      <c r="AE92">
        <f>IF(OR(X92&lt;0),NA(),(INDEX($B$6:$M$20,($Q$3-1-2)*$Q$4+X92+1,0*$Q$5+W92+1)-0)/$Q$19*$Q$13)</f>
        <v>0.30175999999999997</v>
      </c>
      <c r="AF92" t="e">
        <f>IF(OR(Q92&lt;=0,S92&gt;=$Q$10),3,NA())</f>
        <v>#N/A</v>
      </c>
    </row>
    <row r="93" spans="16:32" x14ac:dyDescent="0.35">
      <c r="P93">
        <v>70</v>
      </c>
      <c r="Q93">
        <f>P93-$Q$12</f>
        <v>66</v>
      </c>
      <c r="R93">
        <f>IF(Q93&lt;=0,-1,INT((Q93-1)/($Q$10+$Q$11)))</f>
        <v>4</v>
      </c>
      <c r="S93">
        <f>IF(Q93&lt;=0,-1,MOD(Q93-1,($Q$10+$Q$11)))</f>
        <v>9</v>
      </c>
      <c r="T93">
        <f>IF(OR(S93&lt;0,S93&gt;=$Q$10),-1,INT(S93/$Q$9))</f>
        <v>9</v>
      </c>
      <c r="U93">
        <f>IF(OR(S93&lt;0,S93&gt;=$Q$10),-1,MOD(S93,$Q$9))</f>
        <v>0</v>
      </c>
      <c r="V93">
        <f>IF(OR(Q93&lt;=0,S93&lt;0,S93&gt;=$Q$10,R93&gt;=$Q$7),1,0)</f>
        <v>0</v>
      </c>
      <c r="W93">
        <f>IF(Q93&lt;=0,0,IF(S93&lt;$Q$10,T93,IF(S93=$Q$10,$Q$5-1,0)))</f>
        <v>9</v>
      </c>
      <c r="X93">
        <f>IF(Q93&lt;=0,0,IF(S93&lt;=$Q$10,R93,R93+1))</f>
        <v>4</v>
      </c>
      <c r="Y93" t="str">
        <f>IF(V93=1,"",IF(AND(MOD(W93,3)=0,U93=INT(($Q$9-1)/2)),INDEX($B$5:$M$5,W93+1),""))</f>
        <v>Oct</v>
      </c>
      <c r="Z93" s="6">
        <f>0+$Q$20</f>
        <v>0</v>
      </c>
      <c r="AA93">
        <f>IF(OR(X93&lt;0),NA(),(INDEX($B$6:$M$20,($Q$3-1-0)*$Q$4+X93+1,0*$Q$5+W93+1)-0)/$Q$19*$Q$13)</f>
        <v>0.52168399999999993</v>
      </c>
      <c r="AB93" s="6">
        <f>1+$Q$20-(0+$Q$20+_xlfn.AGGREGATE(9,6,AA93:AA93))</f>
        <v>0.47831600000000007</v>
      </c>
      <c r="AC93">
        <f>IF(OR(X93&lt;0),NA(),(INDEX($B$6:$M$20,($Q$3-1-1)*$Q$4+X93+1,0*$Q$5+W93+1)-0)/$Q$19*$Q$13)</f>
        <v>0.38239333333333331</v>
      </c>
      <c r="AD93" s="6">
        <f>2+$Q$20-(1+$Q$20+_xlfn.AGGREGATE(9,6,AC93:AC93))</f>
        <v>0.61760666666666664</v>
      </c>
      <c r="AE93">
        <f>IF(OR(X93&lt;0),NA(),(INDEX($B$6:$M$20,($Q$3-1-2)*$Q$4+X93+1,0*$Q$5+W93+1)-0)/$Q$19*$Q$13)</f>
        <v>0.34155733333333327</v>
      </c>
      <c r="AF93" t="e">
        <f>IF(OR(Q93&lt;=0,S93&gt;=$Q$10),3,NA())</f>
        <v>#N/A</v>
      </c>
    </row>
    <row r="94" spans="16:32" x14ac:dyDescent="0.35">
      <c r="P94">
        <v>71</v>
      </c>
      <c r="Q94">
        <f>P94-$Q$12</f>
        <v>67</v>
      </c>
      <c r="R94">
        <f>IF(Q94&lt;=0,-1,INT((Q94-1)/($Q$10+$Q$11)))</f>
        <v>4</v>
      </c>
      <c r="S94">
        <f>IF(Q94&lt;=0,-1,MOD(Q94-1,($Q$10+$Q$11)))</f>
        <v>10</v>
      </c>
      <c r="T94">
        <f>IF(OR(S94&lt;0,S94&gt;=$Q$10),-1,INT(S94/$Q$9))</f>
        <v>10</v>
      </c>
      <c r="U94">
        <f>IF(OR(S94&lt;0,S94&gt;=$Q$10),-1,MOD(S94,$Q$9))</f>
        <v>0</v>
      </c>
      <c r="V94">
        <f>IF(OR(Q94&lt;=0,S94&lt;0,S94&gt;=$Q$10,R94&gt;=$Q$7),1,0)</f>
        <v>0</v>
      </c>
      <c r="W94">
        <f>IF(Q94&lt;=0,0,IF(S94&lt;$Q$10,T94,IF(S94=$Q$10,$Q$5-1,0)))</f>
        <v>10</v>
      </c>
      <c r="X94">
        <f>IF(Q94&lt;=0,0,IF(S94&lt;=$Q$10,R94,R94+1))</f>
        <v>4</v>
      </c>
      <c r="Y94" t="str">
        <f>IF(V94=1,"",IF(AND(MOD(W94,3)=0,U94=INT(($Q$9-1)/2)),INDEX($B$5:$M$5,W94+1),""))</f>
        <v/>
      </c>
      <c r="Z94" s="6">
        <f>0+$Q$20</f>
        <v>0</v>
      </c>
      <c r="AA94">
        <f>IF(OR(X94&lt;0),NA(),(INDEX($B$6:$M$20,($Q$3-1-0)*$Q$4+X94+1,0*$Q$5+W94+1)-0)/$Q$19*$Q$13)</f>
        <v>0.4660333333333333</v>
      </c>
      <c r="AB94" s="6">
        <f>1+$Q$20-(0+$Q$20+_xlfn.AGGREGATE(9,6,AA94:AA94))</f>
        <v>0.5339666666666667</v>
      </c>
      <c r="AC94">
        <f>IF(OR(X94&lt;0),NA(),(INDEX($B$6:$M$20,($Q$3-1-1)*$Q$4+X94+1,0*$Q$5+W94+1)-0)/$Q$19*$Q$13)</f>
        <v>0.42366666666666669</v>
      </c>
      <c r="AD94" s="6">
        <f>2+$Q$20-(1+$Q$20+_xlfn.AGGREGATE(9,6,AC94:AC94))</f>
        <v>0.57633333333333336</v>
      </c>
      <c r="AE94">
        <f>IF(OR(X94&lt;0),NA(),(INDEX($B$6:$M$20,($Q$3-1-2)*$Q$4+X94+1,0*$Q$5+W94+1)-0)/$Q$19*$Q$13)</f>
        <v>0.38129999999999997</v>
      </c>
      <c r="AF94" t="e">
        <f>IF(OR(Q94&lt;=0,S94&gt;=$Q$10),3,NA())</f>
        <v>#N/A</v>
      </c>
    </row>
    <row r="95" spans="16:32" x14ac:dyDescent="0.35">
      <c r="P95">
        <v>72</v>
      </c>
      <c r="Q95">
        <f>P95-$Q$12</f>
        <v>68</v>
      </c>
      <c r="R95">
        <f>IF(Q95&lt;=0,-1,INT((Q95-1)/($Q$10+$Q$11)))</f>
        <v>4</v>
      </c>
      <c r="S95">
        <f>IF(Q95&lt;=0,-1,MOD(Q95-1,($Q$10+$Q$11)))</f>
        <v>11</v>
      </c>
      <c r="T95">
        <f>IF(OR(S95&lt;0,S95&gt;=$Q$10),-1,INT(S95/$Q$9))</f>
        <v>11</v>
      </c>
      <c r="U95">
        <f>IF(OR(S95&lt;0,S95&gt;=$Q$10),-1,MOD(S95,$Q$9))</f>
        <v>0</v>
      </c>
      <c r="V95">
        <f>IF(OR(Q95&lt;=0,S95&lt;0,S95&gt;=$Q$10,R95&gt;=$Q$7),1,0)</f>
        <v>0</v>
      </c>
      <c r="W95">
        <f>IF(Q95&lt;=0,0,IF(S95&lt;$Q$10,T95,IF(S95=$Q$10,$Q$5-1,0)))</f>
        <v>11</v>
      </c>
      <c r="X95">
        <f>IF(Q95&lt;=0,0,IF(S95&lt;=$Q$10,R95,R95+1))</f>
        <v>4</v>
      </c>
      <c r="Y95" t="str">
        <f>IF(V95=1,"",IF(AND(MOD(W95,3)=0,U95=INT(($Q$9-1)/2)),INDEX($B$5:$M$5,W95+1),""))</f>
        <v/>
      </c>
      <c r="Z95" s="6">
        <f>0+$Q$20</f>
        <v>0</v>
      </c>
      <c r="AA95">
        <f>IF(OR(X95&lt;0),NA(),(INDEX($B$6:$M$20,($Q$3-1-0)*$Q$4+X95+1,0*$Q$5+W95+1)-0)/$Q$19*$Q$13)</f>
        <v>0.50878266666666672</v>
      </c>
      <c r="AB95" s="6">
        <f>1+$Q$20-(0+$Q$20+_xlfn.AGGREGATE(9,6,AA95:AA95))</f>
        <v>0.49121733333333328</v>
      </c>
      <c r="AC95">
        <f>IF(OR(X95&lt;0),NA(),(INDEX($B$6:$M$20,($Q$3-1-1)*$Q$4+X95+1,0*$Q$5+W95+1)-0)/$Q$19*$Q$13)</f>
        <v>0.46493999999999991</v>
      </c>
      <c r="AD95" s="6">
        <f>2+$Q$20-(1+$Q$20+_xlfn.AGGREGATE(9,6,AC95:AC95))</f>
        <v>0.53506000000000009</v>
      </c>
      <c r="AE95">
        <f>IF(OR(X95&lt;0),NA(),(INDEX($B$6:$M$20,($Q$3-1-2)*$Q$4+X95+1,0*$Q$5+W95+1)-0)/$Q$19*$Q$13)</f>
        <v>0.32264266666666669</v>
      </c>
      <c r="AF95" t="e">
        <f>IF(OR(Q95&lt;=0,S95&gt;=$Q$10),3,NA())</f>
        <v>#N/A</v>
      </c>
    </row>
  </sheetData>
  <mergeCells count="1">
    <mergeCell ref="B4:M4"/>
  </mergeCells>
  <printOptions horizontalCentered="1" verticalCentered="1"/>
  <pageMargins left="0.25" right="0.25" top="0.25" bottom="0.25" header="0.125" footer="0.125"/>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D2A3D-FE06-4B3C-B1F5-5F872C56993D}">
  <sheetPr>
    <pageSetUpPr fitToPage="1"/>
  </sheetPr>
  <dimension ref="A1:BC53"/>
  <sheetViews>
    <sheetView showGridLines="0" workbookViewId="0"/>
  </sheetViews>
  <sheetFormatPr defaultRowHeight="14.5" x14ac:dyDescent="0.35"/>
  <cols>
    <col min="1" max="1" width="18.6328125" customWidth="1"/>
    <col min="17" max="17" width="8.90625" bestFit="1" customWidth="1"/>
  </cols>
  <sheetData>
    <row r="1" spans="1:17" ht="17" x14ac:dyDescent="0.4">
      <c r="A1" s="2" t="s">
        <v>0</v>
      </c>
    </row>
    <row r="2" spans="1:17" x14ac:dyDescent="0.35">
      <c r="A2" s="3" t="s">
        <v>1</v>
      </c>
      <c r="P2" s="1" t="s">
        <v>36</v>
      </c>
    </row>
    <row r="3" spans="1:17" x14ac:dyDescent="0.35">
      <c r="P3" t="s">
        <v>37</v>
      </c>
      <c r="Q3">
        <v>2</v>
      </c>
    </row>
    <row r="4" spans="1:17" x14ac:dyDescent="0.35">
      <c r="B4" s="4" t="s">
        <v>3</v>
      </c>
      <c r="C4" s="4"/>
      <c r="D4" s="4"/>
      <c r="E4" s="4"/>
      <c r="F4" s="4"/>
      <c r="G4" s="4"/>
      <c r="H4" s="4"/>
      <c r="I4" s="4"/>
      <c r="J4" s="4"/>
      <c r="K4" s="4"/>
      <c r="L4" s="4"/>
      <c r="M4" s="4"/>
      <c r="P4" t="s">
        <v>38</v>
      </c>
      <c r="Q4">
        <v>4</v>
      </c>
    </row>
    <row r="5" spans="1:17" x14ac:dyDescent="0.35">
      <c r="A5" s="1" t="s">
        <v>2</v>
      </c>
      <c r="B5" s="1" t="s">
        <v>4</v>
      </c>
      <c r="C5" s="1" t="s">
        <v>5</v>
      </c>
      <c r="D5" s="1" t="s">
        <v>6</v>
      </c>
      <c r="E5" s="1" t="s">
        <v>7</v>
      </c>
      <c r="F5" s="1" t="s">
        <v>8</v>
      </c>
      <c r="G5" s="1" t="s">
        <v>9</v>
      </c>
      <c r="H5" s="1" t="s">
        <v>10</v>
      </c>
      <c r="I5" s="1" t="s">
        <v>11</v>
      </c>
      <c r="J5" s="1" t="s">
        <v>12</v>
      </c>
      <c r="K5" s="1" t="s">
        <v>13</v>
      </c>
      <c r="L5" s="1" t="s">
        <v>14</v>
      </c>
      <c r="M5" s="1" t="s">
        <v>15</v>
      </c>
      <c r="P5" t="s">
        <v>39</v>
      </c>
      <c r="Q5">
        <v>12</v>
      </c>
    </row>
    <row r="6" spans="1:17" x14ac:dyDescent="0.35">
      <c r="A6" t="s">
        <v>16</v>
      </c>
      <c r="B6" s="5">
        <v>725</v>
      </c>
      <c r="C6" s="5">
        <v>804.6</v>
      </c>
      <c r="D6" s="5">
        <v>884.2</v>
      </c>
      <c r="E6" s="5">
        <v>783.9</v>
      </c>
      <c r="F6" s="5">
        <v>863.5</v>
      </c>
      <c r="G6" s="5">
        <v>943.1</v>
      </c>
      <c r="H6" s="5">
        <v>842.7</v>
      </c>
      <c r="I6" s="5">
        <v>922.4</v>
      </c>
      <c r="J6" s="5">
        <v>1002</v>
      </c>
      <c r="K6" s="5">
        <v>901.6</v>
      </c>
      <c r="L6" s="5">
        <v>981.2</v>
      </c>
      <c r="M6" s="5">
        <v>1060.9000000000001</v>
      </c>
      <c r="P6" t="s">
        <v>40</v>
      </c>
      <c r="Q6">
        <v>1</v>
      </c>
    </row>
    <row r="7" spans="1:17" x14ac:dyDescent="0.35">
      <c r="A7" t="s">
        <v>17</v>
      </c>
      <c r="B7" s="5">
        <v>565</v>
      </c>
      <c r="C7" s="5">
        <v>639.1</v>
      </c>
      <c r="D7" s="5">
        <v>533.20000000000005</v>
      </c>
      <c r="E7" s="5">
        <v>607.4</v>
      </c>
      <c r="F7" s="5">
        <v>681.5</v>
      </c>
      <c r="G7" s="5">
        <v>575.6</v>
      </c>
      <c r="H7" s="5">
        <v>649.79999999999995</v>
      </c>
      <c r="I7" s="5">
        <v>723.9</v>
      </c>
      <c r="J7" s="5">
        <v>618</v>
      </c>
      <c r="K7" s="5">
        <v>692.1</v>
      </c>
      <c r="L7" s="5">
        <v>766.2</v>
      </c>
      <c r="M7" s="5">
        <v>660.4</v>
      </c>
      <c r="P7" t="s">
        <v>41</v>
      </c>
      <c r="Q7">
        <v>2</v>
      </c>
    </row>
    <row r="8" spans="1:17" x14ac:dyDescent="0.35">
      <c r="A8" t="s">
        <v>18</v>
      </c>
      <c r="B8" s="5">
        <v>1010</v>
      </c>
      <c r="C8" s="5">
        <v>913.7</v>
      </c>
      <c r="D8" s="5">
        <v>997.5</v>
      </c>
      <c r="E8" s="5">
        <v>1081.2</v>
      </c>
      <c r="F8" s="5">
        <v>985</v>
      </c>
      <c r="G8" s="5">
        <v>1068.8</v>
      </c>
      <c r="H8" s="5">
        <v>1152.5</v>
      </c>
      <c r="I8" s="5">
        <v>1056.2</v>
      </c>
      <c r="J8" s="5">
        <v>1140</v>
      </c>
      <c r="K8" s="5">
        <v>1223.8</v>
      </c>
      <c r="L8" s="5">
        <v>1127.5</v>
      </c>
      <c r="M8" s="5">
        <v>1211.2</v>
      </c>
      <c r="P8" t="s">
        <v>42</v>
      </c>
      <c r="Q8">
        <v>4</v>
      </c>
    </row>
    <row r="9" spans="1:17" x14ac:dyDescent="0.35">
      <c r="A9" t="s">
        <v>19</v>
      </c>
      <c r="B9" s="5">
        <v>670</v>
      </c>
      <c r="C9" s="5">
        <v>748.2</v>
      </c>
      <c r="D9" s="5">
        <v>826.5</v>
      </c>
      <c r="E9" s="5">
        <v>724.8</v>
      </c>
      <c r="F9" s="5">
        <v>803</v>
      </c>
      <c r="G9" s="5">
        <v>881.2</v>
      </c>
      <c r="H9" s="5">
        <v>779.5</v>
      </c>
      <c r="I9" s="5">
        <v>857.8</v>
      </c>
      <c r="J9" s="5">
        <v>936</v>
      </c>
      <c r="K9" s="5">
        <v>834.3</v>
      </c>
      <c r="L9" s="5">
        <v>912.5</v>
      </c>
      <c r="M9" s="5">
        <v>990.7</v>
      </c>
      <c r="P9" t="s">
        <v>43</v>
      </c>
      <c r="Q9">
        <v>1</v>
      </c>
    </row>
    <row r="10" spans="1:17" x14ac:dyDescent="0.35">
      <c r="A10" t="s">
        <v>20</v>
      </c>
      <c r="B10" s="5">
        <v>510</v>
      </c>
      <c r="C10" s="5">
        <v>582.79999999999995</v>
      </c>
      <c r="D10" s="5">
        <v>475.5</v>
      </c>
      <c r="E10" s="5">
        <v>548.20000000000005</v>
      </c>
      <c r="F10" s="5">
        <v>621</v>
      </c>
      <c r="G10" s="5">
        <v>513.79999999999995</v>
      </c>
      <c r="H10" s="5">
        <v>586.5</v>
      </c>
      <c r="I10" s="5">
        <v>659.2</v>
      </c>
      <c r="J10" s="5">
        <v>552</v>
      </c>
      <c r="K10" s="5">
        <v>624.79999999999995</v>
      </c>
      <c r="L10" s="5">
        <v>697.5</v>
      </c>
      <c r="M10" s="5">
        <v>590.20000000000005</v>
      </c>
      <c r="P10" t="s">
        <v>44</v>
      </c>
      <c r="Q10">
        <v>12</v>
      </c>
    </row>
    <row r="11" spans="1:17" x14ac:dyDescent="0.35">
      <c r="A11" t="s">
        <v>21</v>
      </c>
      <c r="B11" s="5">
        <v>955</v>
      </c>
      <c r="C11" s="5">
        <v>857.4</v>
      </c>
      <c r="D11" s="5">
        <v>939.8</v>
      </c>
      <c r="E11" s="5">
        <v>1022.1</v>
      </c>
      <c r="F11" s="5">
        <v>924.5</v>
      </c>
      <c r="G11" s="5">
        <v>1006.9</v>
      </c>
      <c r="H11" s="5">
        <v>1089.2</v>
      </c>
      <c r="I11" s="5">
        <v>991.6</v>
      </c>
      <c r="J11" s="5">
        <v>1074</v>
      </c>
      <c r="K11" s="5">
        <v>1156.4000000000001</v>
      </c>
      <c r="L11" s="5">
        <v>1058.8</v>
      </c>
      <c r="M11" s="5">
        <v>1141.0999999999999</v>
      </c>
      <c r="P11" t="s">
        <v>45</v>
      </c>
      <c r="Q11">
        <v>2</v>
      </c>
    </row>
    <row r="12" spans="1:17" x14ac:dyDescent="0.35">
      <c r="A12" t="s">
        <v>22</v>
      </c>
      <c r="B12" s="5">
        <v>615</v>
      </c>
      <c r="C12" s="5">
        <v>691.9</v>
      </c>
      <c r="D12" s="5">
        <v>768.8</v>
      </c>
      <c r="E12" s="5">
        <v>665.6</v>
      </c>
      <c r="F12" s="5">
        <v>742.5</v>
      </c>
      <c r="G12" s="5">
        <v>819.4</v>
      </c>
      <c r="H12" s="5">
        <v>716.2</v>
      </c>
      <c r="I12" s="5">
        <v>793.1</v>
      </c>
      <c r="J12" s="5">
        <v>870</v>
      </c>
      <c r="K12" s="5">
        <v>766.9</v>
      </c>
      <c r="L12" s="5">
        <v>843.8</v>
      </c>
      <c r="M12" s="5">
        <v>920.6</v>
      </c>
      <c r="P12" t="s">
        <v>46</v>
      </c>
      <c r="Q12">
        <v>2</v>
      </c>
    </row>
    <row r="13" spans="1:17" x14ac:dyDescent="0.35">
      <c r="A13" t="s">
        <v>23</v>
      </c>
      <c r="B13" s="5">
        <v>455</v>
      </c>
      <c r="C13" s="5">
        <v>526.4</v>
      </c>
      <c r="D13" s="5">
        <v>417.8</v>
      </c>
      <c r="E13" s="5">
        <v>489.1</v>
      </c>
      <c r="F13" s="5">
        <v>560.5</v>
      </c>
      <c r="G13" s="5">
        <v>451.9</v>
      </c>
      <c r="H13" s="5">
        <v>523.20000000000005</v>
      </c>
      <c r="I13" s="5">
        <v>594.6</v>
      </c>
      <c r="J13" s="5">
        <v>486</v>
      </c>
      <c r="K13" s="5">
        <v>557.4</v>
      </c>
      <c r="L13" s="5">
        <v>628.79999999999995</v>
      </c>
      <c r="M13" s="5">
        <v>520.1</v>
      </c>
      <c r="P13" t="s">
        <v>47</v>
      </c>
      <c r="Q13">
        <v>0.82</v>
      </c>
    </row>
    <row r="14" spans="1:17" x14ac:dyDescent="0.35">
      <c r="P14" t="s">
        <v>48</v>
      </c>
      <c r="Q14" s="6">
        <f>MIN(0,MIN($B$6:$M$13))</f>
        <v>0</v>
      </c>
    </row>
    <row r="15" spans="1:17" x14ac:dyDescent="0.35">
      <c r="P15" t="s">
        <v>49</v>
      </c>
      <c r="Q15" s="6">
        <f>MAX($B$6:$M$13)</f>
        <v>1223.8</v>
      </c>
    </row>
    <row r="16" spans="1:17" x14ac:dyDescent="0.35">
      <c r="P16" t="s">
        <v>50</v>
      </c>
      <c r="Q16" s="6">
        <f>10^INT(LOG10(MAX(0.000000001,$Q$15-$Q$14)))/2</f>
        <v>500</v>
      </c>
    </row>
    <row r="17" spans="16:55" x14ac:dyDescent="0.35">
      <c r="P17" t="s">
        <v>51</v>
      </c>
      <c r="Q17" s="6">
        <f>FLOOR($Q$14,$Q$16)</f>
        <v>0</v>
      </c>
    </row>
    <row r="18" spans="16:55" x14ac:dyDescent="0.35">
      <c r="P18" t="s">
        <v>52</v>
      </c>
      <c r="Q18" s="6">
        <f>CEILING($Q$15,$Q$16)</f>
        <v>1500</v>
      </c>
    </row>
    <row r="19" spans="16:55" x14ac:dyDescent="0.35">
      <c r="P19" t="s">
        <v>53</v>
      </c>
      <c r="Q19" s="6">
        <f>MAX(0.000000001,$Q$18-$Q$17)</f>
        <v>1500</v>
      </c>
    </row>
    <row r="20" spans="16:55" x14ac:dyDescent="0.35">
      <c r="P20" t="s">
        <v>54</v>
      </c>
      <c r="Q20" s="6">
        <f>(0-$Q$17)/$Q$19*$Q$13</f>
        <v>0</v>
      </c>
    </row>
    <row r="23" spans="16:55" x14ac:dyDescent="0.35">
      <c r="P23" s="1" t="s">
        <v>55</v>
      </c>
      <c r="Q23" s="1" t="s">
        <v>56</v>
      </c>
      <c r="R23" s="1" t="s">
        <v>57</v>
      </c>
      <c r="S23" s="1" t="s">
        <v>58</v>
      </c>
      <c r="T23" s="1" t="s">
        <v>59</v>
      </c>
      <c r="U23" s="1" t="s">
        <v>60</v>
      </c>
      <c r="V23" s="1" t="s">
        <v>61</v>
      </c>
      <c r="W23" s="1" t="s">
        <v>62</v>
      </c>
      <c r="X23" s="1" t="s">
        <v>63</v>
      </c>
      <c r="Y23" s="1" t="s">
        <v>64</v>
      </c>
      <c r="Z23" s="1" t="s">
        <v>75</v>
      </c>
      <c r="AA23" s="1" t="s">
        <v>65</v>
      </c>
      <c r="AB23" s="1" t="s">
        <v>76</v>
      </c>
      <c r="AC23" s="1" t="s">
        <v>66</v>
      </c>
      <c r="AD23" s="1" t="s">
        <v>77</v>
      </c>
      <c r="AE23" s="1" t="s">
        <v>67</v>
      </c>
      <c r="AF23" s="1" t="s">
        <v>78</v>
      </c>
      <c r="AG23" s="1" t="s">
        <v>68</v>
      </c>
      <c r="AH23" s="1"/>
      <c r="AI23" s="1" t="s">
        <v>70</v>
      </c>
      <c r="AJ23" s="1"/>
      <c r="AK23" s="1"/>
      <c r="AL23" s="1" t="s">
        <v>71</v>
      </c>
      <c r="AM23" s="1"/>
      <c r="AN23" s="1"/>
      <c r="AO23" s="1" t="s">
        <v>72</v>
      </c>
      <c r="AP23" s="1"/>
      <c r="AQ23" s="1"/>
      <c r="AR23" s="1" t="s">
        <v>73</v>
      </c>
      <c r="AS23" s="1"/>
      <c r="AT23" s="1"/>
      <c r="AU23" s="1"/>
      <c r="AV23" s="1" t="s">
        <v>74</v>
      </c>
      <c r="AW23" s="1"/>
      <c r="AX23" s="1"/>
      <c r="AY23" s="1"/>
      <c r="AZ23" s="1"/>
      <c r="BA23" s="1"/>
      <c r="BB23" s="1"/>
      <c r="BC23" s="1"/>
    </row>
    <row r="24" spans="16:55" x14ac:dyDescent="0.35">
      <c r="P24">
        <v>1</v>
      </c>
      <c r="Q24">
        <f>P24-$Q$12</f>
        <v>-1</v>
      </c>
      <c r="R24">
        <f>IF(Q24&lt;=0,-1,INT((Q24-1)/($Q$10+$Q$11)))</f>
        <v>-1</v>
      </c>
      <c r="S24">
        <f>IF(Q24&lt;=0,-1,MOD(Q24-1,($Q$10+$Q$11)))</f>
        <v>-1</v>
      </c>
      <c r="T24">
        <f>IF(OR(S24&lt;0,S24&gt;=$Q$10),-1,INT(S24/$Q$9))</f>
        <v>-1</v>
      </c>
      <c r="U24">
        <f>IF(OR(S24&lt;0,S24&gt;=$Q$10),-1,MOD(S24,$Q$9))</f>
        <v>-1</v>
      </c>
      <c r="V24">
        <f>IF(OR(Q24&lt;=0,S24&lt;0,S24&gt;=$Q$10,R24&gt;=$Q$7),1,0)</f>
        <v>1</v>
      </c>
      <c r="W24">
        <f>IF(V24=1,-1,$Q$5-1-T24)</f>
        <v>-1</v>
      </c>
      <c r="X24">
        <f>IF(V24=1,-1,R24)</f>
        <v>-1</v>
      </c>
      <c r="Y24" t="str">
        <f>IF(V24=1,"",IF(AND(MOD(W24,1)=0,U24=INT(($Q$9-1)/2)),INDEX($B$5:$M$5,W24+1),""))</f>
        <v/>
      </c>
      <c r="Z24" s="6">
        <f>0+$Q$20</f>
        <v>0</v>
      </c>
      <c r="AA24" t="e">
        <f>IF(OR(V24=1,U24&lt;&gt;0),NA(),(INDEX($B$6:$M$13,($Q$3-1-X24)*$Q$4+0+1,0*$Q$5+W24+1)-0)/$Q$19*$Q$13)</f>
        <v>#N/A</v>
      </c>
      <c r="AB24" s="6">
        <f>1+$Q$20-(0+$Q$20+_xlfn.AGGREGATE(9,6,AA24:AA24))</f>
        <v>1</v>
      </c>
      <c r="AC24" t="e">
        <f>IF(OR(V24=1,U24&lt;&gt;0),NA(),(INDEX($B$6:$M$13,($Q$3-1-X24)*$Q$4+1+1,0*$Q$5+W24+1)-0)/$Q$19*$Q$13)</f>
        <v>#N/A</v>
      </c>
      <c r="AD24" s="6">
        <f>2+$Q$20-(1+$Q$20+_xlfn.AGGREGATE(9,6,AC24:AC24))</f>
        <v>1</v>
      </c>
      <c r="AE24" t="e">
        <f>IF(OR(V24=1,U24&lt;&gt;0),NA(),(INDEX($B$6:$M$13,($Q$3-1-X24)*$Q$4+2+1,0*$Q$5+W24+1)-0)/$Q$19*$Q$13)</f>
        <v>#N/A</v>
      </c>
      <c r="AF24" s="6">
        <f>3+$Q$20-(2+$Q$20+_xlfn.AGGREGATE(9,6,AE24:AE24))</f>
        <v>1</v>
      </c>
      <c r="AG24" t="e">
        <f>IF(OR(V24=1,U24&lt;&gt;0),NA(),(INDEX($B$6:$M$13,($Q$3-1-X24)*$Q$4+3+1,0*$Q$5+W24+1)-0)/$Q$19*$Q$13)</f>
        <v>#N/A</v>
      </c>
      <c r="AI24">
        <v>0</v>
      </c>
      <c r="AJ24">
        <v>15.5</v>
      </c>
      <c r="AL24">
        <v>0.90999999999999992</v>
      </c>
      <c r="AM24">
        <v>0.5</v>
      </c>
      <c r="AO24">
        <f>IF(OR($Q$17&gt;0,$Q$18&lt;0),NA(),0+$Q$20)</f>
        <v>0</v>
      </c>
      <c r="AP24">
        <v>2.5</v>
      </c>
      <c r="AR24">
        <v>1.6399999999999998E-2</v>
      </c>
      <c r="AS24">
        <v>29</v>
      </c>
      <c r="AT24" t="str">
        <f>Bar!$A$6</f>
        <v>Business partner 01</v>
      </c>
      <c r="AV24">
        <f>0+0*$Q$13</f>
        <v>0</v>
      </c>
      <c r="AW24">
        <v>1</v>
      </c>
      <c r="AX24" t="str">
        <f>TEXT($Q$17+($Q$18-$Q$17)*0,"#,##0")</f>
        <v>0</v>
      </c>
    </row>
    <row r="25" spans="16:55" x14ac:dyDescent="0.35">
      <c r="P25">
        <v>2</v>
      </c>
      <c r="Q25">
        <f>P25-$Q$12</f>
        <v>0</v>
      </c>
      <c r="R25">
        <f>IF(Q25&lt;=0,-1,INT((Q25-1)/($Q$10+$Q$11)))</f>
        <v>-1</v>
      </c>
      <c r="S25">
        <f>IF(Q25&lt;=0,-1,MOD(Q25-1,($Q$10+$Q$11)))</f>
        <v>-1</v>
      </c>
      <c r="T25">
        <f>IF(OR(S25&lt;0,S25&gt;=$Q$10),-1,INT(S25/$Q$9))</f>
        <v>-1</v>
      </c>
      <c r="U25">
        <f>IF(OR(S25&lt;0,S25&gt;=$Q$10),-1,MOD(S25,$Q$9))</f>
        <v>-1</v>
      </c>
      <c r="V25">
        <f>IF(OR(Q25&lt;=0,S25&lt;0,S25&gt;=$Q$10,R25&gt;=$Q$7),1,0)</f>
        <v>1</v>
      </c>
      <c r="W25">
        <f>IF(V25=1,-1,$Q$5-1-T25)</f>
        <v>-1</v>
      </c>
      <c r="X25">
        <f>IF(V25=1,-1,R25)</f>
        <v>-1</v>
      </c>
      <c r="Y25" t="str">
        <f>IF(V25=1,"",IF(AND(MOD(W25,1)=0,U25=INT(($Q$9-1)/2)),INDEX($B$5:$M$5,W25+1),""))</f>
        <v/>
      </c>
      <c r="Z25" s="6">
        <f>0+$Q$20</f>
        <v>0</v>
      </c>
      <c r="AA25" t="e">
        <f>IF(OR(V25=1,U25&lt;&gt;0),NA(),(INDEX($B$6:$M$13,($Q$3-1-X25)*$Q$4+0+1,0*$Q$5+W25+1)-0)/$Q$19*$Q$13)</f>
        <v>#N/A</v>
      </c>
      <c r="AB25" s="6">
        <f>1+$Q$20-(0+$Q$20+_xlfn.AGGREGATE(9,6,AA25:AA25))</f>
        <v>1</v>
      </c>
      <c r="AC25" t="e">
        <f>IF(OR(V25=1,U25&lt;&gt;0),NA(),(INDEX($B$6:$M$13,($Q$3-1-X25)*$Q$4+1+1,0*$Q$5+W25+1)-0)/$Q$19*$Q$13)</f>
        <v>#N/A</v>
      </c>
      <c r="AD25" s="6">
        <f>2+$Q$20-(1+$Q$20+_xlfn.AGGREGATE(9,6,AC25:AC25))</f>
        <v>1</v>
      </c>
      <c r="AE25" t="e">
        <f>IF(OR(V25=1,U25&lt;&gt;0),NA(),(INDEX($B$6:$M$13,($Q$3-1-X25)*$Q$4+2+1,0*$Q$5+W25+1)-0)/$Q$19*$Q$13)</f>
        <v>#N/A</v>
      </c>
      <c r="AF25" s="6">
        <f>3+$Q$20-(2+$Q$20+_xlfn.AGGREGATE(9,6,AE25:AE25))</f>
        <v>1</v>
      </c>
      <c r="AG25" t="e">
        <f>IF(OR(V25=1,U25&lt;&gt;0),NA(),(INDEX($B$6:$M$13,($Q$3-1-X25)*$Q$4+3+1,0*$Q$5+W25+1)-0)/$Q$19*$Q$13)</f>
        <v>#N/A</v>
      </c>
      <c r="AI25">
        <v>4</v>
      </c>
      <c r="AJ25">
        <v>15.5</v>
      </c>
      <c r="AL25">
        <v>0.90999999999999992</v>
      </c>
      <c r="AM25">
        <v>30.5</v>
      </c>
      <c r="AO25">
        <f>IF(OR($Q$17&gt;0,$Q$18&lt;0),NA(),0+$Q$20)</f>
        <v>0</v>
      </c>
      <c r="AP25">
        <v>14.5</v>
      </c>
      <c r="AR25">
        <v>1.0164</v>
      </c>
      <c r="AS25">
        <v>29</v>
      </c>
      <c r="AT25" t="str">
        <f>Bar!$A$7</f>
        <v>Business partner 02</v>
      </c>
      <c r="AV25">
        <f>0+0.5*$Q$13</f>
        <v>0.41</v>
      </c>
      <c r="AW25">
        <v>1</v>
      </c>
      <c r="AX25" t="str">
        <f>TEXT($Q$17+($Q$18-$Q$17)*0.5,"#,##0")</f>
        <v>750</v>
      </c>
    </row>
    <row r="26" spans="16:55" x14ac:dyDescent="0.35">
      <c r="P26">
        <v>3</v>
      </c>
      <c r="Q26">
        <f>P26-$Q$12</f>
        <v>1</v>
      </c>
      <c r="R26">
        <f>IF(Q26&lt;=0,-1,INT((Q26-1)/($Q$10+$Q$11)))</f>
        <v>0</v>
      </c>
      <c r="S26">
        <f>IF(Q26&lt;=0,-1,MOD(Q26-1,($Q$10+$Q$11)))</f>
        <v>0</v>
      </c>
      <c r="T26">
        <f>IF(OR(S26&lt;0,S26&gt;=$Q$10),-1,INT(S26/$Q$9))</f>
        <v>0</v>
      </c>
      <c r="U26">
        <f>IF(OR(S26&lt;0,S26&gt;=$Q$10),-1,MOD(S26,$Q$9))</f>
        <v>0</v>
      </c>
      <c r="V26">
        <f>IF(OR(Q26&lt;=0,S26&lt;0,S26&gt;=$Q$10,R26&gt;=$Q$7),1,0)</f>
        <v>0</v>
      </c>
      <c r="W26">
        <f>IF(V26=1,-1,$Q$5-1-T26)</f>
        <v>11</v>
      </c>
      <c r="X26">
        <f>IF(V26=1,-1,R26)</f>
        <v>0</v>
      </c>
      <c r="Y26" t="str">
        <f>IF(V26=1,"",IF(AND(MOD(W26,1)=0,U26=INT(($Q$9-1)/2)),INDEX($B$5:$M$5,W26+1),""))</f>
        <v>Dec</v>
      </c>
      <c r="Z26" s="6">
        <f>0+$Q$20</f>
        <v>0</v>
      </c>
      <c r="AA26">
        <f>IF(OR(V26=1,U26&lt;&gt;0),NA(),(INDEX($B$6:$M$13,($Q$3-1-X26)*$Q$4+0+1,0*$Q$5+W26+1)-0)/$Q$19*$Q$13)</f>
        <v>0.32264266666666669</v>
      </c>
      <c r="AB26" s="6">
        <f>1+$Q$20-(0+$Q$20+_xlfn.AGGREGATE(9,6,AA26:AA26))</f>
        <v>0.67735733333333337</v>
      </c>
      <c r="AC26">
        <f>IF(OR(V26=1,U26&lt;&gt;0),NA(),(INDEX($B$6:$M$13,($Q$3-1-X26)*$Q$4+1+1,0*$Q$5+W26+1)-0)/$Q$19*$Q$13)</f>
        <v>0.62380133333333321</v>
      </c>
      <c r="AD26" s="6">
        <f>2+$Q$20-(1+$Q$20+_xlfn.AGGREGATE(9,6,AC26:AC26))</f>
        <v>0.37619866666666679</v>
      </c>
      <c r="AE26">
        <f>IF(OR(V26=1,U26&lt;&gt;0),NA(),(INDEX($B$6:$M$13,($Q$3-1-X26)*$Q$4+2+1,0*$Q$5+W26+1)-0)/$Q$19*$Q$13)</f>
        <v>0.50326133333333334</v>
      </c>
      <c r="AF26" s="6">
        <f>3+$Q$20-(2+$Q$20+_xlfn.AGGREGATE(9,6,AE26:AE26))</f>
        <v>0.49673866666666644</v>
      </c>
      <c r="AG26">
        <f>IF(OR(V26=1,U26&lt;&gt;0),NA(),(INDEX($B$6:$M$13,($Q$3-1-X26)*$Q$4+3+1,0*$Q$5+W26+1)-0)/$Q$19*$Q$13)</f>
        <v>0.28432133333333331</v>
      </c>
      <c r="AJ26">
        <v>15.5</v>
      </c>
      <c r="AM26">
        <v>30.5</v>
      </c>
      <c r="AP26">
        <v>14.5</v>
      </c>
      <c r="AR26">
        <v>2.0164</v>
      </c>
      <c r="AS26">
        <v>29</v>
      </c>
      <c r="AT26" t="str">
        <f>Bar!$A$8</f>
        <v>Business partner 03</v>
      </c>
      <c r="AV26">
        <f>0+1*$Q$13</f>
        <v>0.82</v>
      </c>
      <c r="AW26">
        <v>1</v>
      </c>
      <c r="AX26" t="str">
        <f>TEXT($Q$17+($Q$18-$Q$17)*1,"#,##0")</f>
        <v>1,500</v>
      </c>
    </row>
    <row r="27" spans="16:55" x14ac:dyDescent="0.35">
      <c r="P27">
        <v>4</v>
      </c>
      <c r="Q27">
        <f>P27-$Q$12</f>
        <v>2</v>
      </c>
      <c r="R27">
        <f>IF(Q27&lt;=0,-1,INT((Q27-1)/($Q$10+$Q$11)))</f>
        <v>0</v>
      </c>
      <c r="S27">
        <f>IF(Q27&lt;=0,-1,MOD(Q27-1,($Q$10+$Q$11)))</f>
        <v>1</v>
      </c>
      <c r="T27">
        <f>IF(OR(S27&lt;0,S27&gt;=$Q$10),-1,INT(S27/$Q$9))</f>
        <v>1</v>
      </c>
      <c r="U27">
        <f>IF(OR(S27&lt;0,S27&gt;=$Q$10),-1,MOD(S27,$Q$9))</f>
        <v>0</v>
      </c>
      <c r="V27">
        <f>IF(OR(Q27&lt;=0,S27&lt;0,S27&gt;=$Q$10,R27&gt;=$Q$7),1,0)</f>
        <v>0</v>
      </c>
      <c r="W27">
        <f>IF(V27=1,-1,$Q$5-1-T27)</f>
        <v>10</v>
      </c>
      <c r="X27">
        <f>IF(V27=1,-1,R27)</f>
        <v>0</v>
      </c>
      <c r="Y27" t="str">
        <f>IF(V27=1,"",IF(AND(MOD(W27,1)=0,U27=INT(($Q$9-1)/2)),INDEX($B$5:$M$5,W27+1),""))</f>
        <v>Nov</v>
      </c>
      <c r="Z27" s="6">
        <f>0+$Q$20</f>
        <v>0</v>
      </c>
      <c r="AA27">
        <f>IF(OR(V27=1,U27&lt;&gt;0),NA(),(INDEX($B$6:$M$13,($Q$3-1-X27)*$Q$4+0+1,0*$Q$5+W27+1)-0)/$Q$19*$Q$13)</f>
        <v>0.38129999999999997</v>
      </c>
      <c r="AB27" s="6">
        <f>1+$Q$20-(0+$Q$20+_xlfn.AGGREGATE(9,6,AA27:AA27))</f>
        <v>0.61870000000000003</v>
      </c>
      <c r="AC27">
        <f>IF(OR(V27=1,U27&lt;&gt;0),NA(),(INDEX($B$6:$M$13,($Q$3-1-X27)*$Q$4+1+1,0*$Q$5+W27+1)-0)/$Q$19*$Q$13)</f>
        <v>0.57881066666666658</v>
      </c>
      <c r="AD27" s="6">
        <f>2+$Q$20-(1+$Q$20+_xlfn.AGGREGATE(9,6,AC27:AC27))</f>
        <v>0.42118933333333342</v>
      </c>
      <c r="AE27">
        <f>IF(OR(V27=1,U27&lt;&gt;0),NA(),(INDEX($B$6:$M$13,($Q$3-1-X27)*$Q$4+2+1,0*$Q$5+W27+1)-0)/$Q$19*$Q$13)</f>
        <v>0.46127733333333332</v>
      </c>
      <c r="AF27" s="6">
        <f>3+$Q$20-(2+$Q$20+_xlfn.AGGREGATE(9,6,AE27:AE27))</f>
        <v>0.53872266666666668</v>
      </c>
      <c r="AG27">
        <f>IF(OR(V27=1,U27&lt;&gt;0),NA(),(INDEX($B$6:$M$13,($Q$3-1-X27)*$Q$4+3+1,0*$Q$5+W27+1)-0)/$Q$19*$Q$13)</f>
        <v>0.34374399999999994</v>
      </c>
      <c r="AL27">
        <v>1.91</v>
      </c>
      <c r="AM27">
        <v>0.5</v>
      </c>
      <c r="AO27">
        <f>IF(OR($Q$17&gt;0,$Q$18&lt;0),NA(),0+$Q$20)</f>
        <v>0</v>
      </c>
      <c r="AP27">
        <v>16.5</v>
      </c>
      <c r="AR27">
        <v>3.0164</v>
      </c>
      <c r="AS27">
        <v>29</v>
      </c>
      <c r="AT27" t="str">
        <f>Bar!$A$9</f>
        <v>Business partner 04</v>
      </c>
      <c r="AV27">
        <f>1+0*$Q$13</f>
        <v>1</v>
      </c>
      <c r="AW27">
        <v>1</v>
      </c>
      <c r="AX27" t="str">
        <f>TEXT($Q$17+($Q$18-$Q$17)*0,"#,##0")</f>
        <v>0</v>
      </c>
    </row>
    <row r="28" spans="16:55" x14ac:dyDescent="0.35">
      <c r="P28">
        <v>5</v>
      </c>
      <c r="Q28">
        <f>P28-$Q$12</f>
        <v>3</v>
      </c>
      <c r="R28">
        <f>IF(Q28&lt;=0,-1,INT((Q28-1)/($Q$10+$Q$11)))</f>
        <v>0</v>
      </c>
      <c r="S28">
        <f>IF(Q28&lt;=0,-1,MOD(Q28-1,($Q$10+$Q$11)))</f>
        <v>2</v>
      </c>
      <c r="T28">
        <f>IF(OR(S28&lt;0,S28&gt;=$Q$10),-1,INT(S28/$Q$9))</f>
        <v>2</v>
      </c>
      <c r="U28">
        <f>IF(OR(S28&lt;0,S28&gt;=$Q$10),-1,MOD(S28,$Q$9))</f>
        <v>0</v>
      </c>
      <c r="V28">
        <f>IF(OR(Q28&lt;=0,S28&lt;0,S28&gt;=$Q$10,R28&gt;=$Q$7),1,0)</f>
        <v>0</v>
      </c>
      <c r="W28">
        <f>IF(V28=1,-1,$Q$5-1-T28)</f>
        <v>9</v>
      </c>
      <c r="X28">
        <f>IF(V28=1,-1,R28)</f>
        <v>0</v>
      </c>
      <c r="Y28" t="str">
        <f>IF(V28=1,"",IF(AND(MOD(W28,1)=0,U28=INT(($Q$9-1)/2)),INDEX($B$5:$M$5,W28+1),""))</f>
        <v>Oct</v>
      </c>
      <c r="Z28" s="6">
        <f>0+$Q$20</f>
        <v>0</v>
      </c>
      <c r="AA28">
        <f>IF(OR(V28=1,U28&lt;&gt;0),NA(),(INDEX($B$6:$M$13,($Q$3-1-X28)*$Q$4+0+1,0*$Q$5+W28+1)-0)/$Q$19*$Q$13)</f>
        <v>0.34155733333333327</v>
      </c>
      <c r="AB28" s="6">
        <f>1+$Q$20-(0+$Q$20+_xlfn.AGGREGATE(9,6,AA28:AA28))</f>
        <v>0.65844266666666673</v>
      </c>
      <c r="AC28">
        <f>IF(OR(V28=1,U28&lt;&gt;0),NA(),(INDEX($B$6:$M$13,($Q$3-1-X28)*$Q$4+1+1,0*$Q$5+W28+1)-0)/$Q$19*$Q$13)</f>
        <v>0.63216533333333336</v>
      </c>
      <c r="AD28" s="6">
        <f>2+$Q$20-(1+$Q$20+_xlfn.AGGREGATE(9,6,AC28:AC28))</f>
        <v>0.36783466666666653</v>
      </c>
      <c r="AE28">
        <f>IF(OR(V28=1,U28&lt;&gt;0),NA(),(INDEX($B$6:$M$13,($Q$3-1-X28)*$Q$4+2+1,0*$Q$5+W28+1)-0)/$Q$19*$Q$13)</f>
        <v>0.41923866666666665</v>
      </c>
      <c r="AF28" s="6">
        <f>3+$Q$20-(2+$Q$20+_xlfn.AGGREGATE(9,6,AE28:AE28))</f>
        <v>0.58076133333333324</v>
      </c>
      <c r="AG28">
        <f>IF(OR(V28=1,U28&lt;&gt;0),NA(),(INDEX($B$6:$M$13,($Q$3-1-X28)*$Q$4+3+1,0*$Q$5+W28+1)-0)/$Q$19*$Q$13)</f>
        <v>0.30471199999999998</v>
      </c>
      <c r="AL28">
        <v>1.91</v>
      </c>
      <c r="AM28">
        <v>30.5</v>
      </c>
      <c r="AO28">
        <f>IF(OR($Q$17&gt;0,$Q$18&lt;0),NA(),0+$Q$20)</f>
        <v>0</v>
      </c>
      <c r="AP28">
        <v>28.5</v>
      </c>
      <c r="AR28">
        <v>1.6399999999999998E-2</v>
      </c>
      <c r="AS28">
        <v>15</v>
      </c>
      <c r="AT28" t="str">
        <f>Bar!$A$10</f>
        <v>Business partner 05</v>
      </c>
      <c r="AV28">
        <f>1+0.5*$Q$13</f>
        <v>1.41</v>
      </c>
      <c r="AW28">
        <v>1</v>
      </c>
      <c r="AX28" t="str">
        <f>TEXT($Q$17+($Q$18-$Q$17)*0.5,"#,##0")</f>
        <v>750</v>
      </c>
    </row>
    <row r="29" spans="16:55" x14ac:dyDescent="0.35">
      <c r="P29">
        <v>6</v>
      </c>
      <c r="Q29">
        <f>P29-$Q$12</f>
        <v>4</v>
      </c>
      <c r="R29">
        <f>IF(Q29&lt;=0,-1,INT((Q29-1)/($Q$10+$Q$11)))</f>
        <v>0</v>
      </c>
      <c r="S29">
        <f>IF(Q29&lt;=0,-1,MOD(Q29-1,($Q$10+$Q$11)))</f>
        <v>3</v>
      </c>
      <c r="T29">
        <f>IF(OR(S29&lt;0,S29&gt;=$Q$10),-1,INT(S29/$Q$9))</f>
        <v>3</v>
      </c>
      <c r="U29">
        <f>IF(OR(S29&lt;0,S29&gt;=$Q$10),-1,MOD(S29,$Q$9))</f>
        <v>0</v>
      </c>
      <c r="V29">
        <f>IF(OR(Q29&lt;=0,S29&lt;0,S29&gt;=$Q$10,R29&gt;=$Q$7),1,0)</f>
        <v>0</v>
      </c>
      <c r="W29">
        <f>IF(V29=1,-1,$Q$5-1-T29)</f>
        <v>8</v>
      </c>
      <c r="X29">
        <f>IF(V29=1,-1,R29)</f>
        <v>0</v>
      </c>
      <c r="Y29" t="str">
        <f>IF(V29=1,"",IF(AND(MOD(W29,1)=0,U29=INT(($Q$9-1)/2)),INDEX($B$5:$M$5,W29+1),""))</f>
        <v>Sep</v>
      </c>
      <c r="Z29" s="6">
        <f>0+$Q$20</f>
        <v>0</v>
      </c>
      <c r="AA29">
        <f>IF(OR(V29=1,U29&lt;&gt;0),NA(),(INDEX($B$6:$M$13,($Q$3-1-X29)*$Q$4+0+1,0*$Q$5+W29+1)-0)/$Q$19*$Q$13)</f>
        <v>0.30175999999999997</v>
      </c>
      <c r="AB29" s="6">
        <f>1+$Q$20-(0+$Q$20+_xlfn.AGGREGATE(9,6,AA29:AA29))</f>
        <v>0.69823999999999997</v>
      </c>
      <c r="AC29">
        <f>IF(OR(V29=1,U29&lt;&gt;0),NA(),(INDEX($B$6:$M$13,($Q$3-1-X29)*$Q$4+1+1,0*$Q$5+W29+1)-0)/$Q$19*$Q$13)</f>
        <v>0.58711999999999998</v>
      </c>
      <c r="AD29" s="6">
        <f>2+$Q$20-(1+$Q$20+_xlfn.AGGREGATE(9,6,AC29:AC29))</f>
        <v>0.41287999999999991</v>
      </c>
      <c r="AE29">
        <f>IF(OR(V29=1,U29&lt;&gt;0),NA(),(INDEX($B$6:$M$13,($Q$3-1-X29)*$Q$4+2+1,0*$Q$5+W29+1)-0)/$Q$19*$Q$13)</f>
        <v>0.47559999999999991</v>
      </c>
      <c r="AF29" s="6">
        <f>3+$Q$20-(2+$Q$20+_xlfn.AGGREGATE(9,6,AE29:AE29))</f>
        <v>0.52439999999999998</v>
      </c>
      <c r="AG29">
        <f>IF(OR(V29=1,U29&lt;&gt;0),NA(),(INDEX($B$6:$M$13,($Q$3-1-X29)*$Q$4+3+1,0*$Q$5+W29+1)-0)/$Q$19*$Q$13)</f>
        <v>0.26567999999999997</v>
      </c>
      <c r="AM29">
        <v>30.5</v>
      </c>
      <c r="AP29">
        <v>28.5</v>
      </c>
      <c r="AR29">
        <v>1.0164</v>
      </c>
      <c r="AS29">
        <v>15</v>
      </c>
      <c r="AT29" t="str">
        <f>Bar!$A$11</f>
        <v>Business partner 06</v>
      </c>
      <c r="AV29">
        <f>1+1*$Q$13</f>
        <v>1.8199999999999998</v>
      </c>
      <c r="AW29">
        <v>1</v>
      </c>
      <c r="AX29" t="str">
        <f>TEXT($Q$17+($Q$18-$Q$17)*1,"#,##0")</f>
        <v>1,500</v>
      </c>
    </row>
    <row r="30" spans="16:55" x14ac:dyDescent="0.35">
      <c r="P30">
        <v>7</v>
      </c>
      <c r="Q30">
        <f>P30-$Q$12</f>
        <v>5</v>
      </c>
      <c r="R30">
        <f>IF(Q30&lt;=0,-1,INT((Q30-1)/($Q$10+$Q$11)))</f>
        <v>0</v>
      </c>
      <c r="S30">
        <f>IF(Q30&lt;=0,-1,MOD(Q30-1,($Q$10+$Q$11)))</f>
        <v>4</v>
      </c>
      <c r="T30">
        <f>IF(OR(S30&lt;0,S30&gt;=$Q$10),-1,INT(S30/$Q$9))</f>
        <v>4</v>
      </c>
      <c r="U30">
        <f>IF(OR(S30&lt;0,S30&gt;=$Q$10),-1,MOD(S30,$Q$9))</f>
        <v>0</v>
      </c>
      <c r="V30">
        <f>IF(OR(Q30&lt;=0,S30&lt;0,S30&gt;=$Q$10,R30&gt;=$Q$7),1,0)</f>
        <v>0</v>
      </c>
      <c r="W30">
        <f>IF(V30=1,-1,$Q$5-1-T30)</f>
        <v>7</v>
      </c>
      <c r="X30">
        <f>IF(V30=1,-1,R30)</f>
        <v>0</v>
      </c>
      <c r="Y30" t="str">
        <f>IF(V30=1,"",IF(AND(MOD(W30,1)=0,U30=INT(($Q$9-1)/2)),INDEX($B$5:$M$5,W30+1),""))</f>
        <v>Aug</v>
      </c>
      <c r="Z30" s="6">
        <f>0+$Q$20</f>
        <v>0</v>
      </c>
      <c r="AA30">
        <f>IF(OR(V30=1,U30&lt;&gt;0),NA(),(INDEX($B$6:$M$13,($Q$3-1-X30)*$Q$4+0+1,0*$Q$5+W30+1)-0)/$Q$19*$Q$13)</f>
        <v>0.36036266666666666</v>
      </c>
      <c r="AB30" s="6">
        <f>1+$Q$20-(0+$Q$20+_xlfn.AGGREGATE(9,6,AA30:AA30))</f>
        <v>0.63963733333333339</v>
      </c>
      <c r="AC30">
        <f>IF(OR(V30=1,U30&lt;&gt;0),NA(),(INDEX($B$6:$M$13,($Q$3-1-X30)*$Q$4+1+1,0*$Q$5+W30+1)-0)/$Q$19*$Q$13)</f>
        <v>0.5420746666666667</v>
      </c>
      <c r="AD30" s="6">
        <f>2+$Q$20-(1+$Q$20+_xlfn.AGGREGATE(9,6,AC30:AC30))</f>
        <v>0.4579253333333333</v>
      </c>
      <c r="AE30">
        <f>IF(OR(V30=1,U30&lt;&gt;0),NA(),(INDEX($B$6:$M$13,($Q$3-1-X30)*$Q$4+2+1,0*$Q$5+W30+1)-0)/$Q$19*$Q$13)</f>
        <v>0.43356133333333335</v>
      </c>
      <c r="AF30" s="6">
        <f>3+$Q$20-(2+$Q$20+_xlfn.AGGREGATE(9,6,AE30:AE30))</f>
        <v>0.56643866666666653</v>
      </c>
      <c r="AG30">
        <f>IF(OR(V30=1,U30&lt;&gt;0),NA(),(INDEX($B$6:$M$13,($Q$3-1-X30)*$Q$4+3+1,0*$Q$5+W30+1)-0)/$Q$19*$Q$13)</f>
        <v>0.325048</v>
      </c>
      <c r="AL30">
        <v>2.91</v>
      </c>
      <c r="AM30">
        <v>0.5</v>
      </c>
      <c r="AO30">
        <f>IF(OR($Q$17&gt;0,$Q$18&lt;0),NA(),1+$Q$20)</f>
        <v>1</v>
      </c>
      <c r="AP30">
        <v>2.5</v>
      </c>
      <c r="AR30">
        <v>2.0164</v>
      </c>
      <c r="AS30">
        <v>15</v>
      </c>
      <c r="AT30" t="str">
        <f>Bar!$A$12</f>
        <v>Business partner 07</v>
      </c>
      <c r="AV30">
        <f>2+0*$Q$13</f>
        <v>2</v>
      </c>
      <c r="AW30">
        <v>1</v>
      </c>
      <c r="AX30" t="str">
        <f>TEXT($Q$17+($Q$18-$Q$17)*0,"#,##0")</f>
        <v>0</v>
      </c>
    </row>
    <row r="31" spans="16:55" x14ac:dyDescent="0.35">
      <c r="P31">
        <v>8</v>
      </c>
      <c r="Q31">
        <f>P31-$Q$12</f>
        <v>6</v>
      </c>
      <c r="R31">
        <f>IF(Q31&lt;=0,-1,INT((Q31-1)/($Q$10+$Q$11)))</f>
        <v>0</v>
      </c>
      <c r="S31">
        <f>IF(Q31&lt;=0,-1,MOD(Q31-1,($Q$10+$Q$11)))</f>
        <v>5</v>
      </c>
      <c r="T31">
        <f>IF(OR(S31&lt;0,S31&gt;=$Q$10),-1,INT(S31/$Q$9))</f>
        <v>5</v>
      </c>
      <c r="U31">
        <f>IF(OR(S31&lt;0,S31&gt;=$Q$10),-1,MOD(S31,$Q$9))</f>
        <v>0</v>
      </c>
      <c r="V31">
        <f>IF(OR(Q31&lt;=0,S31&lt;0,S31&gt;=$Q$10,R31&gt;=$Q$7),1,0)</f>
        <v>0</v>
      </c>
      <c r="W31">
        <f>IF(V31=1,-1,$Q$5-1-T31)</f>
        <v>6</v>
      </c>
      <c r="X31">
        <f>IF(V31=1,-1,R31)</f>
        <v>0</v>
      </c>
      <c r="Y31" t="str">
        <f>IF(V31=1,"",IF(AND(MOD(W31,1)=0,U31=INT(($Q$9-1)/2)),INDEX($B$5:$M$5,W31+1),""))</f>
        <v>Jul</v>
      </c>
      <c r="Z31" s="6">
        <f>0+$Q$20</f>
        <v>0</v>
      </c>
      <c r="AA31">
        <f>IF(OR(V31=1,U31&lt;&gt;0),NA(),(INDEX($B$6:$M$13,($Q$3-1-X31)*$Q$4+0+1,0*$Q$5+W31+1)-0)/$Q$19*$Q$13)</f>
        <v>0.32062000000000002</v>
      </c>
      <c r="AB31" s="6">
        <f>1+$Q$20-(0+$Q$20+_xlfn.AGGREGATE(9,6,AA31:AA31))</f>
        <v>0.67937999999999998</v>
      </c>
      <c r="AC31">
        <f>IF(OR(V31=1,U31&lt;&gt;0),NA(),(INDEX($B$6:$M$13,($Q$3-1-X31)*$Q$4+1+1,0*$Q$5+W31+1)-0)/$Q$19*$Q$13)</f>
        <v>0.59542933333333337</v>
      </c>
      <c r="AD31" s="6">
        <f>2+$Q$20-(1+$Q$20+_xlfn.AGGREGATE(9,6,AC31:AC31))</f>
        <v>0.40457066666666663</v>
      </c>
      <c r="AE31">
        <f>IF(OR(V31=1,U31&lt;&gt;0),NA(),(INDEX($B$6:$M$13,($Q$3-1-X31)*$Q$4+2+1,0*$Q$5+W31+1)-0)/$Q$19*$Q$13)</f>
        <v>0.39152266666666669</v>
      </c>
      <c r="AF31" s="6">
        <f>3+$Q$20-(2+$Q$20+_xlfn.AGGREGATE(9,6,AE31:AE31))</f>
        <v>0.60847733333333309</v>
      </c>
      <c r="AG31">
        <f>IF(OR(V31=1,U31&lt;&gt;0),NA(),(INDEX($B$6:$M$13,($Q$3-1-X31)*$Q$4+3+1,0*$Q$5+W31+1)-0)/$Q$19*$Q$13)</f>
        <v>0.28601600000000005</v>
      </c>
      <c r="AL31">
        <v>2.91</v>
      </c>
      <c r="AM31">
        <v>30.5</v>
      </c>
      <c r="AO31">
        <f>IF(OR($Q$17&gt;0,$Q$18&lt;0),NA(),1+$Q$20)</f>
        <v>1</v>
      </c>
      <c r="AP31">
        <v>14.5</v>
      </c>
      <c r="AR31">
        <v>3.0164</v>
      </c>
      <c r="AS31">
        <v>15</v>
      </c>
      <c r="AT31" t="str">
        <f>Bar!$A$13</f>
        <v>Business partner 08</v>
      </c>
      <c r="AV31">
        <f>2+0.5*$Q$13</f>
        <v>2.41</v>
      </c>
      <c r="AW31">
        <v>1</v>
      </c>
      <c r="AX31" t="str">
        <f>TEXT($Q$17+($Q$18-$Q$17)*0.5,"#,##0")</f>
        <v>750</v>
      </c>
    </row>
    <row r="32" spans="16:55" x14ac:dyDescent="0.35">
      <c r="P32">
        <v>9</v>
      </c>
      <c r="Q32">
        <f>P32-$Q$12</f>
        <v>7</v>
      </c>
      <c r="R32">
        <f>IF(Q32&lt;=0,-1,INT((Q32-1)/($Q$10+$Q$11)))</f>
        <v>0</v>
      </c>
      <c r="S32">
        <f>IF(Q32&lt;=0,-1,MOD(Q32-1,($Q$10+$Q$11)))</f>
        <v>6</v>
      </c>
      <c r="T32">
        <f>IF(OR(S32&lt;0,S32&gt;=$Q$10),-1,INT(S32/$Q$9))</f>
        <v>6</v>
      </c>
      <c r="U32">
        <f>IF(OR(S32&lt;0,S32&gt;=$Q$10),-1,MOD(S32,$Q$9))</f>
        <v>0</v>
      </c>
      <c r="V32">
        <f>IF(OR(Q32&lt;=0,S32&lt;0,S32&gt;=$Q$10,R32&gt;=$Q$7),1,0)</f>
        <v>0</v>
      </c>
      <c r="W32">
        <f>IF(V32=1,-1,$Q$5-1-T32)</f>
        <v>5</v>
      </c>
      <c r="X32">
        <f>IF(V32=1,-1,R32)</f>
        <v>0</v>
      </c>
      <c r="Y32" t="str">
        <f>IF(V32=1,"",IF(AND(MOD(W32,1)=0,U32=INT(($Q$9-1)/2)),INDEX($B$5:$M$5,W32+1),""))</f>
        <v>Jun</v>
      </c>
      <c r="Z32" s="6">
        <f>0+$Q$20</f>
        <v>0</v>
      </c>
      <c r="AA32">
        <f>IF(OR(V32=1,U32&lt;&gt;0),NA(),(INDEX($B$6:$M$13,($Q$3-1-X32)*$Q$4+0+1,0*$Q$5+W32+1)-0)/$Q$19*$Q$13)</f>
        <v>0.28087733333333331</v>
      </c>
      <c r="AB32" s="6">
        <f>1+$Q$20-(0+$Q$20+_xlfn.AGGREGATE(9,6,AA32:AA32))</f>
        <v>0.71912266666666669</v>
      </c>
      <c r="AC32">
        <f>IF(OR(V32=1,U32&lt;&gt;0),NA(),(INDEX($B$6:$M$13,($Q$3-1-X32)*$Q$4+1+1,0*$Q$5+W32+1)-0)/$Q$19*$Q$13)</f>
        <v>0.55043866666666663</v>
      </c>
      <c r="AD32" s="6">
        <f>2+$Q$20-(1+$Q$20+_xlfn.AGGREGATE(9,6,AC32:AC32))</f>
        <v>0.44956133333333348</v>
      </c>
      <c r="AE32">
        <f>IF(OR(V32=1,U32&lt;&gt;0),NA(),(INDEX($B$6:$M$13,($Q$3-1-X32)*$Q$4+2+1,0*$Q$5+W32+1)-0)/$Q$19*$Q$13)</f>
        <v>0.44793866666666665</v>
      </c>
      <c r="AF32" s="6">
        <f>3+$Q$20-(2+$Q$20+_xlfn.AGGREGATE(9,6,AE32:AE32))</f>
        <v>0.55206133333333351</v>
      </c>
      <c r="AG32">
        <f>IF(OR(V32=1,U32&lt;&gt;0),NA(),(INDEX($B$6:$M$13,($Q$3-1-X32)*$Q$4+3+1,0*$Q$5+W32+1)-0)/$Q$19*$Q$13)</f>
        <v>0.24703866666666663</v>
      </c>
      <c r="AM32">
        <v>30.5</v>
      </c>
      <c r="AP32">
        <v>14.5</v>
      </c>
      <c r="AV32">
        <f>2+1*$Q$13</f>
        <v>2.82</v>
      </c>
      <c r="AW32">
        <v>1</v>
      </c>
      <c r="AX32" t="str">
        <f>TEXT($Q$17+($Q$18-$Q$17)*1,"#,##0")</f>
        <v>1,500</v>
      </c>
    </row>
    <row r="33" spans="16:50" x14ac:dyDescent="0.35">
      <c r="P33">
        <v>10</v>
      </c>
      <c r="Q33">
        <f>P33-$Q$12</f>
        <v>8</v>
      </c>
      <c r="R33">
        <f>IF(Q33&lt;=0,-1,INT((Q33-1)/($Q$10+$Q$11)))</f>
        <v>0</v>
      </c>
      <c r="S33">
        <f>IF(Q33&lt;=0,-1,MOD(Q33-1,($Q$10+$Q$11)))</f>
        <v>7</v>
      </c>
      <c r="T33">
        <f>IF(OR(S33&lt;0,S33&gt;=$Q$10),-1,INT(S33/$Q$9))</f>
        <v>7</v>
      </c>
      <c r="U33">
        <f>IF(OR(S33&lt;0,S33&gt;=$Q$10),-1,MOD(S33,$Q$9))</f>
        <v>0</v>
      </c>
      <c r="V33">
        <f>IF(OR(Q33&lt;=0,S33&lt;0,S33&gt;=$Q$10,R33&gt;=$Q$7),1,0)</f>
        <v>0</v>
      </c>
      <c r="W33">
        <f>IF(V33=1,-1,$Q$5-1-T33)</f>
        <v>4</v>
      </c>
      <c r="X33">
        <f>IF(V33=1,-1,R33)</f>
        <v>0</v>
      </c>
      <c r="Y33" t="str">
        <f>IF(V33=1,"",IF(AND(MOD(W33,1)=0,U33=INT(($Q$9-1)/2)),INDEX($B$5:$M$5,W33+1),""))</f>
        <v>May</v>
      </c>
      <c r="Z33" s="6">
        <f>0+$Q$20</f>
        <v>0</v>
      </c>
      <c r="AA33">
        <f>IF(OR(V33=1,U33&lt;&gt;0),NA(),(INDEX($B$6:$M$13,($Q$3-1-X33)*$Q$4+0+1,0*$Q$5+W33+1)-0)/$Q$19*$Q$13)</f>
        <v>0.33947999999999995</v>
      </c>
      <c r="AB33" s="6">
        <f>1+$Q$20-(0+$Q$20+_xlfn.AGGREGATE(9,6,AA33:AA33))</f>
        <v>0.66052</v>
      </c>
      <c r="AC33">
        <f>IF(OR(V33=1,U33&lt;&gt;0),NA(),(INDEX($B$6:$M$13,($Q$3-1-X33)*$Q$4+1+1,0*$Q$5+W33+1)-0)/$Q$19*$Q$13)</f>
        <v>0.50539333333333325</v>
      </c>
      <c r="AD33" s="6">
        <f>2+$Q$20-(1+$Q$20+_xlfn.AGGREGATE(9,6,AC33:AC33))</f>
        <v>0.49460666666666686</v>
      </c>
      <c r="AE33">
        <f>IF(OR(V33=1,U33&lt;&gt;0),NA(),(INDEX($B$6:$M$13,($Q$3-1-X33)*$Q$4+2+1,0*$Q$5+W33+1)-0)/$Q$19*$Q$13)</f>
        <v>0.40589999999999998</v>
      </c>
      <c r="AF33" s="6">
        <f>3+$Q$20-(2+$Q$20+_xlfn.AGGREGATE(9,6,AE33:AE33))</f>
        <v>0.59410000000000007</v>
      </c>
      <c r="AG33">
        <f>IF(OR(V33=1,U33&lt;&gt;0),NA(),(INDEX($B$6:$M$13,($Q$3-1-X33)*$Q$4+3+1,0*$Q$5+W33+1)-0)/$Q$19*$Q$13)</f>
        <v>0.30640666666666661</v>
      </c>
      <c r="AO33">
        <f>IF(OR($Q$17&gt;0,$Q$18&lt;0),NA(),1+$Q$20)</f>
        <v>1</v>
      </c>
      <c r="AP33">
        <v>16.5</v>
      </c>
      <c r="AV33">
        <f>3+0*$Q$13</f>
        <v>3</v>
      </c>
      <c r="AW33">
        <v>1</v>
      </c>
      <c r="AX33" t="str">
        <f>TEXT($Q$17+($Q$18-$Q$17)*0,"#,##0")</f>
        <v>0</v>
      </c>
    </row>
    <row r="34" spans="16:50" x14ac:dyDescent="0.35">
      <c r="P34">
        <v>11</v>
      </c>
      <c r="Q34">
        <f>P34-$Q$12</f>
        <v>9</v>
      </c>
      <c r="R34">
        <f>IF(Q34&lt;=0,-1,INT((Q34-1)/($Q$10+$Q$11)))</f>
        <v>0</v>
      </c>
      <c r="S34">
        <f>IF(Q34&lt;=0,-1,MOD(Q34-1,($Q$10+$Q$11)))</f>
        <v>8</v>
      </c>
      <c r="T34">
        <f>IF(OR(S34&lt;0,S34&gt;=$Q$10),-1,INT(S34/$Q$9))</f>
        <v>8</v>
      </c>
      <c r="U34">
        <f>IF(OR(S34&lt;0,S34&gt;=$Q$10),-1,MOD(S34,$Q$9))</f>
        <v>0</v>
      </c>
      <c r="V34">
        <f>IF(OR(Q34&lt;=0,S34&lt;0,S34&gt;=$Q$10,R34&gt;=$Q$7),1,0)</f>
        <v>0</v>
      </c>
      <c r="W34">
        <f>IF(V34=1,-1,$Q$5-1-T34)</f>
        <v>3</v>
      </c>
      <c r="X34">
        <f>IF(V34=1,-1,R34)</f>
        <v>0</v>
      </c>
      <c r="Y34" t="str">
        <f>IF(V34=1,"",IF(AND(MOD(W34,1)=0,U34=INT(($Q$9-1)/2)),INDEX($B$5:$M$5,W34+1),""))</f>
        <v>Apr</v>
      </c>
      <c r="Z34" s="6">
        <f>0+$Q$20</f>
        <v>0</v>
      </c>
      <c r="AA34">
        <f>IF(OR(V34=1,U34&lt;&gt;0),NA(),(INDEX($B$6:$M$13,($Q$3-1-X34)*$Q$4+0+1,0*$Q$5+W34+1)-0)/$Q$19*$Q$13)</f>
        <v>0.29968266666666671</v>
      </c>
      <c r="AB34" s="6">
        <f>1+$Q$20-(0+$Q$20+_xlfn.AGGREGATE(9,6,AA34:AA34))</f>
        <v>0.70031733333333324</v>
      </c>
      <c r="AC34">
        <f>IF(OR(V34=1,U34&lt;&gt;0),NA(),(INDEX($B$6:$M$13,($Q$3-1-X34)*$Q$4+1+1,0*$Q$5+W34+1)-0)/$Q$19*$Q$13)</f>
        <v>0.55874800000000002</v>
      </c>
      <c r="AD34" s="6">
        <f>2+$Q$20-(1+$Q$20+_xlfn.AGGREGATE(9,6,AC34:AC34))</f>
        <v>0.44125199999999998</v>
      </c>
      <c r="AE34">
        <f>IF(OR(V34=1,U34&lt;&gt;0),NA(),(INDEX($B$6:$M$13,($Q$3-1-X34)*$Q$4+2+1,0*$Q$5+W34+1)-0)/$Q$19*$Q$13)</f>
        <v>0.36386133333333331</v>
      </c>
      <c r="AF34" s="6">
        <f>3+$Q$20-(2+$Q$20+_xlfn.AGGREGATE(9,6,AE34:AE34))</f>
        <v>0.63613866666666663</v>
      </c>
      <c r="AG34">
        <f>IF(OR(V34=1,U34&lt;&gt;0),NA(),(INDEX($B$6:$M$13,($Q$3-1-X34)*$Q$4+3+1,0*$Q$5+W34+1)-0)/$Q$19*$Q$13)</f>
        <v>0.26737466666666665</v>
      </c>
      <c r="AO34">
        <f>IF(OR($Q$17&gt;0,$Q$18&lt;0),NA(),1+$Q$20)</f>
        <v>1</v>
      </c>
      <c r="AP34">
        <v>28.5</v>
      </c>
      <c r="AV34">
        <f>3+0.5*$Q$13</f>
        <v>3.41</v>
      </c>
      <c r="AW34">
        <v>1</v>
      </c>
      <c r="AX34" t="str">
        <f>TEXT($Q$17+($Q$18-$Q$17)*0.5,"#,##0")</f>
        <v>750</v>
      </c>
    </row>
    <row r="35" spans="16:50" x14ac:dyDescent="0.35">
      <c r="P35">
        <v>12</v>
      </c>
      <c r="Q35">
        <f>P35-$Q$12</f>
        <v>10</v>
      </c>
      <c r="R35">
        <f>IF(Q35&lt;=0,-1,INT((Q35-1)/($Q$10+$Q$11)))</f>
        <v>0</v>
      </c>
      <c r="S35">
        <f>IF(Q35&lt;=0,-1,MOD(Q35-1,($Q$10+$Q$11)))</f>
        <v>9</v>
      </c>
      <c r="T35">
        <f>IF(OR(S35&lt;0,S35&gt;=$Q$10),-1,INT(S35/$Q$9))</f>
        <v>9</v>
      </c>
      <c r="U35">
        <f>IF(OR(S35&lt;0,S35&gt;=$Q$10),-1,MOD(S35,$Q$9))</f>
        <v>0</v>
      </c>
      <c r="V35">
        <f>IF(OR(Q35&lt;=0,S35&lt;0,S35&gt;=$Q$10,R35&gt;=$Q$7),1,0)</f>
        <v>0</v>
      </c>
      <c r="W35">
        <f>IF(V35=1,-1,$Q$5-1-T35)</f>
        <v>2</v>
      </c>
      <c r="X35">
        <f>IF(V35=1,-1,R35)</f>
        <v>0</v>
      </c>
      <c r="Y35" t="str">
        <f>IF(V35=1,"",IF(AND(MOD(W35,1)=0,U35=INT(($Q$9-1)/2)),INDEX($B$5:$M$5,W35+1),""))</f>
        <v>Mar</v>
      </c>
      <c r="Z35" s="6">
        <f>0+$Q$20</f>
        <v>0</v>
      </c>
      <c r="AA35">
        <f>IF(OR(V35=1,U35&lt;&gt;0),NA(),(INDEX($B$6:$M$13,($Q$3-1-X35)*$Q$4+0+1,0*$Q$5+W35+1)-0)/$Q$19*$Q$13)</f>
        <v>0.25994</v>
      </c>
      <c r="AB35" s="6">
        <f>1+$Q$20-(0+$Q$20+_xlfn.AGGREGATE(9,6,AA35:AA35))</f>
        <v>0.74005999999999994</v>
      </c>
      <c r="AC35">
        <f>IF(OR(V35=1,U35&lt;&gt;0),NA(),(INDEX($B$6:$M$13,($Q$3-1-X35)*$Q$4+1+1,0*$Q$5+W35+1)-0)/$Q$19*$Q$13)</f>
        <v>0.51375733333333329</v>
      </c>
      <c r="AD35" s="6">
        <f>2+$Q$20-(1+$Q$20+_xlfn.AGGREGATE(9,6,AC35:AC35))</f>
        <v>0.4862426666666666</v>
      </c>
      <c r="AE35">
        <f>IF(OR(V35=1,U35&lt;&gt;0),NA(),(INDEX($B$6:$M$13,($Q$3-1-X35)*$Q$4+2+1,0*$Q$5+W35+1)-0)/$Q$19*$Q$13)</f>
        <v>0.42027733333333328</v>
      </c>
      <c r="AF35" s="6">
        <f>3+$Q$20-(2+$Q$20+_xlfn.AGGREGATE(9,6,AE35:AE35))</f>
        <v>0.57972266666666661</v>
      </c>
      <c r="AG35">
        <f>IF(OR(V35=1,U35&lt;&gt;0),NA(),(INDEX($B$6:$M$13,($Q$3-1-X35)*$Q$4+3+1,0*$Q$5+W35+1)-0)/$Q$19*$Q$13)</f>
        <v>0.22839733333333334</v>
      </c>
      <c r="AP35">
        <v>28.5</v>
      </c>
      <c r="AV35">
        <f>3+1*$Q$13</f>
        <v>3.82</v>
      </c>
      <c r="AW35">
        <v>1</v>
      </c>
      <c r="AX35" t="str">
        <f>TEXT($Q$17+($Q$18-$Q$17)*1,"#,##0")</f>
        <v>1,500</v>
      </c>
    </row>
    <row r="36" spans="16:50" x14ac:dyDescent="0.35">
      <c r="P36">
        <v>13</v>
      </c>
      <c r="Q36">
        <f>P36-$Q$12</f>
        <v>11</v>
      </c>
      <c r="R36">
        <f>IF(Q36&lt;=0,-1,INT((Q36-1)/($Q$10+$Q$11)))</f>
        <v>0</v>
      </c>
      <c r="S36">
        <f>IF(Q36&lt;=0,-1,MOD(Q36-1,($Q$10+$Q$11)))</f>
        <v>10</v>
      </c>
      <c r="T36">
        <f>IF(OR(S36&lt;0,S36&gt;=$Q$10),-1,INT(S36/$Q$9))</f>
        <v>10</v>
      </c>
      <c r="U36">
        <f>IF(OR(S36&lt;0,S36&gt;=$Q$10),-1,MOD(S36,$Q$9))</f>
        <v>0</v>
      </c>
      <c r="V36">
        <f>IF(OR(Q36&lt;=0,S36&lt;0,S36&gt;=$Q$10,R36&gt;=$Q$7),1,0)</f>
        <v>0</v>
      </c>
      <c r="W36">
        <f>IF(V36=1,-1,$Q$5-1-T36)</f>
        <v>1</v>
      </c>
      <c r="X36">
        <f>IF(V36=1,-1,R36)</f>
        <v>0</v>
      </c>
      <c r="Y36" t="str">
        <f>IF(V36=1,"",IF(AND(MOD(W36,1)=0,U36=INT(($Q$9-1)/2)),INDEX($B$5:$M$5,W36+1),""))</f>
        <v>Feb</v>
      </c>
      <c r="Z36" s="6">
        <f>0+$Q$20</f>
        <v>0</v>
      </c>
      <c r="AA36">
        <f>IF(OR(V36=1,U36&lt;&gt;0),NA(),(INDEX($B$6:$M$13,($Q$3-1-X36)*$Q$4+0+1,0*$Q$5+W36+1)-0)/$Q$19*$Q$13)</f>
        <v>0.31859733333333329</v>
      </c>
      <c r="AB36" s="6">
        <f>1+$Q$20-(0+$Q$20+_xlfn.AGGREGATE(9,6,AA36:AA36))</f>
        <v>0.68140266666666671</v>
      </c>
      <c r="AC36">
        <f>IF(OR(V36=1,U36&lt;&gt;0),NA(),(INDEX($B$6:$M$13,($Q$3-1-X36)*$Q$4+1+1,0*$Q$5+W36+1)-0)/$Q$19*$Q$13)</f>
        <v>0.46871199999999996</v>
      </c>
      <c r="AD36" s="6">
        <f>2+$Q$20-(1+$Q$20+_xlfn.AGGREGATE(9,6,AC36:AC36))</f>
        <v>0.53128799999999998</v>
      </c>
      <c r="AE36">
        <f>IF(OR(V36=1,U36&lt;&gt;0),NA(),(INDEX($B$6:$M$13,($Q$3-1-X36)*$Q$4+2+1,0*$Q$5+W36+1)-0)/$Q$19*$Q$13)</f>
        <v>0.37823866666666661</v>
      </c>
      <c r="AF36" s="6">
        <f>3+$Q$20-(2+$Q$20+_xlfn.AGGREGATE(9,6,AE36:AE36))</f>
        <v>0.62176133333333361</v>
      </c>
      <c r="AG36">
        <f>IF(OR(V36=1,U36&lt;&gt;0),NA(),(INDEX($B$6:$M$13,($Q$3-1-X36)*$Q$4+3+1,0*$Q$5+W36+1)-0)/$Q$19*$Q$13)</f>
        <v>0.28776533333333332</v>
      </c>
      <c r="AO36">
        <f>IF(OR($Q$17&gt;0,$Q$18&lt;0),NA(),2+$Q$20)</f>
        <v>2</v>
      </c>
      <c r="AP36">
        <v>2.5</v>
      </c>
    </row>
    <row r="37" spans="16:50" x14ac:dyDescent="0.35">
      <c r="P37">
        <v>14</v>
      </c>
      <c r="Q37">
        <f>P37-$Q$12</f>
        <v>12</v>
      </c>
      <c r="R37">
        <f>IF(Q37&lt;=0,-1,INT((Q37-1)/($Q$10+$Q$11)))</f>
        <v>0</v>
      </c>
      <c r="S37">
        <f>IF(Q37&lt;=0,-1,MOD(Q37-1,($Q$10+$Q$11)))</f>
        <v>11</v>
      </c>
      <c r="T37">
        <f>IF(OR(S37&lt;0,S37&gt;=$Q$10),-1,INT(S37/$Q$9))</f>
        <v>11</v>
      </c>
      <c r="U37">
        <f>IF(OR(S37&lt;0,S37&gt;=$Q$10),-1,MOD(S37,$Q$9))</f>
        <v>0</v>
      </c>
      <c r="V37">
        <f>IF(OR(Q37&lt;=0,S37&lt;0,S37&gt;=$Q$10,R37&gt;=$Q$7),1,0)</f>
        <v>0</v>
      </c>
      <c r="W37">
        <f>IF(V37=1,-1,$Q$5-1-T37)</f>
        <v>0</v>
      </c>
      <c r="X37">
        <f>IF(V37=1,-1,R37)</f>
        <v>0</v>
      </c>
      <c r="Y37" t="str">
        <f>IF(V37=1,"",IF(AND(MOD(W37,1)=0,U37=INT(($Q$9-1)/2)),INDEX($B$5:$M$5,W37+1),""))</f>
        <v>Jan</v>
      </c>
      <c r="Z37" s="6">
        <f>0+$Q$20</f>
        <v>0</v>
      </c>
      <c r="AA37">
        <f>IF(OR(V37=1,U37&lt;&gt;0),NA(),(INDEX($B$6:$M$13,($Q$3-1-X37)*$Q$4+0+1,0*$Q$5+W37+1)-0)/$Q$19*$Q$13)</f>
        <v>0.27879999999999999</v>
      </c>
      <c r="AB37" s="6">
        <f>1+$Q$20-(0+$Q$20+_xlfn.AGGREGATE(9,6,AA37:AA37))</f>
        <v>0.72120000000000006</v>
      </c>
      <c r="AC37">
        <f>IF(OR(V37=1,U37&lt;&gt;0),NA(),(INDEX($B$6:$M$13,($Q$3-1-X37)*$Q$4+1+1,0*$Q$5+W37+1)-0)/$Q$19*$Q$13)</f>
        <v>0.52206666666666668</v>
      </c>
      <c r="AD37" s="6">
        <f>2+$Q$20-(1+$Q$20+_xlfn.AGGREGATE(9,6,AC37:AC37))</f>
        <v>0.47793333333333332</v>
      </c>
      <c r="AE37">
        <f>IF(OR(V37=1,U37&lt;&gt;0),NA(),(INDEX($B$6:$M$13,($Q$3-1-X37)*$Q$4+2+1,0*$Q$5+W37+1)-0)/$Q$19*$Q$13)</f>
        <v>0.33619999999999994</v>
      </c>
      <c r="AF37" s="6">
        <f>3+$Q$20-(2+$Q$20+_xlfn.AGGREGATE(9,6,AE37:AE37))</f>
        <v>0.66380000000000017</v>
      </c>
      <c r="AG37">
        <f>IF(OR(V37=1,U37&lt;&gt;0),NA(),(INDEX($B$6:$M$13,($Q$3-1-X37)*$Q$4+3+1,0*$Q$5+W37+1)-0)/$Q$19*$Q$13)</f>
        <v>0.24873333333333333</v>
      </c>
      <c r="AO37">
        <f>IF(OR($Q$17&gt;0,$Q$18&lt;0),NA(),2+$Q$20)</f>
        <v>2</v>
      </c>
      <c r="AP37">
        <v>14.5</v>
      </c>
    </row>
    <row r="38" spans="16:50" x14ac:dyDescent="0.35">
      <c r="P38">
        <v>15</v>
      </c>
      <c r="Q38">
        <f>P38-$Q$12</f>
        <v>13</v>
      </c>
      <c r="R38">
        <f>IF(Q38&lt;=0,-1,INT((Q38-1)/($Q$10+$Q$11)))</f>
        <v>0</v>
      </c>
      <c r="S38">
        <f>IF(Q38&lt;=0,-1,MOD(Q38-1,($Q$10+$Q$11)))</f>
        <v>12</v>
      </c>
      <c r="T38">
        <f>IF(OR(S38&lt;0,S38&gt;=$Q$10),-1,INT(S38/$Q$9))</f>
        <v>-1</v>
      </c>
      <c r="U38">
        <f>IF(OR(S38&lt;0,S38&gt;=$Q$10),-1,MOD(S38,$Q$9))</f>
        <v>-1</v>
      </c>
      <c r="V38">
        <f>IF(OR(Q38&lt;=0,S38&lt;0,S38&gt;=$Q$10,R38&gt;=$Q$7),1,0)</f>
        <v>1</v>
      </c>
      <c r="W38">
        <f>IF(V38=1,-1,$Q$5-1-T38)</f>
        <v>-1</v>
      </c>
      <c r="X38">
        <f>IF(V38=1,-1,R38)</f>
        <v>-1</v>
      </c>
      <c r="Y38" t="str">
        <f>IF(V38=1,"",IF(AND(MOD(W38,1)=0,U38=INT(($Q$9-1)/2)),INDEX($B$5:$M$5,W38+1),""))</f>
        <v/>
      </c>
      <c r="Z38" s="6">
        <f>0+$Q$20</f>
        <v>0</v>
      </c>
      <c r="AA38" t="e">
        <f>IF(OR(V38=1,U38&lt;&gt;0),NA(),(INDEX($B$6:$M$13,($Q$3-1-X38)*$Q$4+0+1,0*$Q$5+W38+1)-0)/$Q$19*$Q$13)</f>
        <v>#N/A</v>
      </c>
      <c r="AB38" s="6">
        <f>1+$Q$20-(0+$Q$20+_xlfn.AGGREGATE(9,6,AA38:AA38))</f>
        <v>1</v>
      </c>
      <c r="AC38" t="e">
        <f>IF(OR(V38=1,U38&lt;&gt;0),NA(),(INDEX($B$6:$M$13,($Q$3-1-X38)*$Q$4+1+1,0*$Q$5+W38+1)-0)/$Q$19*$Q$13)</f>
        <v>#N/A</v>
      </c>
      <c r="AD38" s="6">
        <f>2+$Q$20-(1+$Q$20+_xlfn.AGGREGATE(9,6,AC38:AC38))</f>
        <v>1</v>
      </c>
      <c r="AE38" t="e">
        <f>IF(OR(V38=1,U38&lt;&gt;0),NA(),(INDEX($B$6:$M$13,($Q$3-1-X38)*$Q$4+2+1,0*$Q$5+W38+1)-0)/$Q$19*$Q$13)</f>
        <v>#N/A</v>
      </c>
      <c r="AF38" s="6">
        <f>3+$Q$20-(2+$Q$20+_xlfn.AGGREGATE(9,6,AE38:AE38))</f>
        <v>1</v>
      </c>
      <c r="AG38" t="e">
        <f>IF(OR(V38=1,U38&lt;&gt;0),NA(),(INDEX($B$6:$M$13,($Q$3-1-X38)*$Q$4+3+1,0*$Q$5+W38+1)-0)/$Q$19*$Q$13)</f>
        <v>#N/A</v>
      </c>
      <c r="AP38">
        <v>14.5</v>
      </c>
    </row>
    <row r="39" spans="16:50" x14ac:dyDescent="0.35">
      <c r="P39">
        <v>16</v>
      </c>
      <c r="Q39">
        <f>P39-$Q$12</f>
        <v>14</v>
      </c>
      <c r="R39">
        <f>IF(Q39&lt;=0,-1,INT((Q39-1)/($Q$10+$Q$11)))</f>
        <v>0</v>
      </c>
      <c r="S39">
        <f>IF(Q39&lt;=0,-1,MOD(Q39-1,($Q$10+$Q$11)))</f>
        <v>13</v>
      </c>
      <c r="T39">
        <f>IF(OR(S39&lt;0,S39&gt;=$Q$10),-1,INT(S39/$Q$9))</f>
        <v>-1</v>
      </c>
      <c r="U39">
        <f>IF(OR(S39&lt;0,S39&gt;=$Q$10),-1,MOD(S39,$Q$9))</f>
        <v>-1</v>
      </c>
      <c r="V39">
        <f>IF(OR(Q39&lt;=0,S39&lt;0,S39&gt;=$Q$10,R39&gt;=$Q$7),1,0)</f>
        <v>1</v>
      </c>
      <c r="W39">
        <f>IF(V39=1,-1,$Q$5-1-T39)</f>
        <v>-1</v>
      </c>
      <c r="X39">
        <f>IF(V39=1,-1,R39)</f>
        <v>-1</v>
      </c>
      <c r="Y39" t="str">
        <f>IF(V39=1,"",IF(AND(MOD(W39,1)=0,U39=INT(($Q$9-1)/2)),INDEX($B$5:$M$5,W39+1),""))</f>
        <v/>
      </c>
      <c r="Z39" s="6">
        <f>0+$Q$20</f>
        <v>0</v>
      </c>
      <c r="AA39" t="e">
        <f>IF(OR(V39=1,U39&lt;&gt;0),NA(),(INDEX($B$6:$M$13,($Q$3-1-X39)*$Q$4+0+1,0*$Q$5+W39+1)-0)/$Q$19*$Q$13)</f>
        <v>#N/A</v>
      </c>
      <c r="AB39" s="6">
        <f>1+$Q$20-(0+$Q$20+_xlfn.AGGREGATE(9,6,AA39:AA39))</f>
        <v>1</v>
      </c>
      <c r="AC39" t="e">
        <f>IF(OR(V39=1,U39&lt;&gt;0),NA(),(INDEX($B$6:$M$13,($Q$3-1-X39)*$Q$4+1+1,0*$Q$5+W39+1)-0)/$Q$19*$Q$13)</f>
        <v>#N/A</v>
      </c>
      <c r="AD39" s="6">
        <f>2+$Q$20-(1+$Q$20+_xlfn.AGGREGATE(9,6,AC39:AC39))</f>
        <v>1</v>
      </c>
      <c r="AE39" t="e">
        <f>IF(OR(V39=1,U39&lt;&gt;0),NA(),(INDEX($B$6:$M$13,($Q$3-1-X39)*$Q$4+2+1,0*$Q$5+W39+1)-0)/$Q$19*$Q$13)</f>
        <v>#N/A</v>
      </c>
      <c r="AF39" s="6">
        <f>3+$Q$20-(2+$Q$20+_xlfn.AGGREGATE(9,6,AE39:AE39))</f>
        <v>1</v>
      </c>
      <c r="AG39" t="e">
        <f>IF(OR(V39=1,U39&lt;&gt;0),NA(),(INDEX($B$6:$M$13,($Q$3-1-X39)*$Q$4+3+1,0*$Q$5+W39+1)-0)/$Q$19*$Q$13)</f>
        <v>#N/A</v>
      </c>
      <c r="AO39">
        <f>IF(OR($Q$17&gt;0,$Q$18&lt;0),NA(),2+$Q$20)</f>
        <v>2</v>
      </c>
      <c r="AP39">
        <v>16.5</v>
      </c>
    </row>
    <row r="40" spans="16:50" x14ac:dyDescent="0.35">
      <c r="P40">
        <v>17</v>
      </c>
      <c r="Q40">
        <f>P40-$Q$12</f>
        <v>15</v>
      </c>
      <c r="R40">
        <f>IF(Q40&lt;=0,-1,INT((Q40-1)/($Q$10+$Q$11)))</f>
        <v>1</v>
      </c>
      <c r="S40">
        <f>IF(Q40&lt;=0,-1,MOD(Q40-1,($Q$10+$Q$11)))</f>
        <v>0</v>
      </c>
      <c r="T40">
        <f>IF(OR(S40&lt;0,S40&gt;=$Q$10),-1,INT(S40/$Q$9))</f>
        <v>0</v>
      </c>
      <c r="U40">
        <f>IF(OR(S40&lt;0,S40&gt;=$Q$10),-1,MOD(S40,$Q$9))</f>
        <v>0</v>
      </c>
      <c r="V40">
        <f>IF(OR(Q40&lt;=0,S40&lt;0,S40&gt;=$Q$10,R40&gt;=$Q$7),1,0)</f>
        <v>0</v>
      </c>
      <c r="W40">
        <f>IF(V40=1,-1,$Q$5-1-T40)</f>
        <v>11</v>
      </c>
      <c r="X40">
        <f>IF(V40=1,-1,R40)</f>
        <v>1</v>
      </c>
      <c r="Y40" t="str">
        <f>IF(V40=1,"",IF(AND(MOD(W40,1)=0,U40=INT(($Q$9-1)/2)),INDEX($B$5:$M$5,W40+1),""))</f>
        <v>Dec</v>
      </c>
      <c r="Z40" s="6">
        <f>0+$Q$20</f>
        <v>0</v>
      </c>
      <c r="AA40">
        <f>IF(OR(V40=1,U40&lt;&gt;0),NA(),(INDEX($B$6:$M$13,($Q$3-1-X40)*$Q$4+0+1,0*$Q$5+W40+1)-0)/$Q$19*$Q$13)</f>
        <v>0.57995866666666662</v>
      </c>
      <c r="AB40" s="6">
        <f>1+$Q$20-(0+$Q$20+_xlfn.AGGREGATE(9,6,AA40:AA40))</f>
        <v>0.42004133333333338</v>
      </c>
      <c r="AC40">
        <f>IF(OR(V40=1,U40&lt;&gt;0),NA(),(INDEX($B$6:$M$13,($Q$3-1-X40)*$Q$4+1+1,0*$Q$5+W40+1)-0)/$Q$19*$Q$13)</f>
        <v>0.3610186666666666</v>
      </c>
      <c r="AD40" s="6">
        <f>2+$Q$20-(1+$Q$20+_xlfn.AGGREGATE(9,6,AC40:AC40))</f>
        <v>0.6389813333333334</v>
      </c>
      <c r="AE40">
        <f>IF(OR(V40=1,U40&lt;&gt;0),NA(),(INDEX($B$6:$M$13,($Q$3-1-X40)*$Q$4+2+1,0*$Q$5+W40+1)-0)/$Q$19*$Q$13)</f>
        <v>0.66212266666666664</v>
      </c>
      <c r="AF40" s="6">
        <f>3+$Q$20-(2+$Q$20+_xlfn.AGGREGATE(9,6,AE40:AE40))</f>
        <v>0.33787733333333314</v>
      </c>
      <c r="AG40">
        <f>IF(OR(V40=1,U40&lt;&gt;0),NA(),(INDEX($B$6:$M$13,($Q$3-1-X40)*$Q$4+3+1,0*$Q$5+W40+1)-0)/$Q$19*$Q$13)</f>
        <v>0.54158266666666666</v>
      </c>
      <c r="AO40">
        <f>IF(OR($Q$17&gt;0,$Q$18&lt;0),NA(),2+$Q$20)</f>
        <v>2</v>
      </c>
      <c r="AP40">
        <v>28.5</v>
      </c>
    </row>
    <row r="41" spans="16:50" x14ac:dyDescent="0.35">
      <c r="P41">
        <v>18</v>
      </c>
      <c r="Q41">
        <f>P41-$Q$12</f>
        <v>16</v>
      </c>
      <c r="R41">
        <f>IF(Q41&lt;=0,-1,INT((Q41-1)/($Q$10+$Q$11)))</f>
        <v>1</v>
      </c>
      <c r="S41">
        <f>IF(Q41&lt;=0,-1,MOD(Q41-1,($Q$10+$Q$11)))</f>
        <v>1</v>
      </c>
      <c r="T41">
        <f>IF(OR(S41&lt;0,S41&gt;=$Q$10),-1,INT(S41/$Q$9))</f>
        <v>1</v>
      </c>
      <c r="U41">
        <f>IF(OR(S41&lt;0,S41&gt;=$Q$10),-1,MOD(S41,$Q$9))</f>
        <v>0</v>
      </c>
      <c r="V41">
        <f>IF(OR(Q41&lt;=0,S41&lt;0,S41&gt;=$Q$10,R41&gt;=$Q$7),1,0)</f>
        <v>0</v>
      </c>
      <c r="W41">
        <f>IF(V41=1,-1,$Q$5-1-T41)</f>
        <v>10</v>
      </c>
      <c r="X41">
        <f>IF(V41=1,-1,R41)</f>
        <v>1</v>
      </c>
      <c r="Y41" t="str">
        <f>IF(V41=1,"",IF(AND(MOD(W41,1)=0,U41=INT(($Q$9-1)/2)),INDEX($B$5:$M$5,W41+1),""))</f>
        <v>Nov</v>
      </c>
      <c r="Z41" s="6">
        <f>0+$Q$20</f>
        <v>0</v>
      </c>
      <c r="AA41">
        <f>IF(OR(V41=1,U41&lt;&gt;0),NA(),(INDEX($B$6:$M$13,($Q$3-1-X41)*$Q$4+0+1,0*$Q$5+W41+1)-0)/$Q$19*$Q$13)</f>
        <v>0.53638933333333327</v>
      </c>
      <c r="AB41" s="6">
        <f>1+$Q$20-(0+$Q$20+_xlfn.AGGREGATE(9,6,AA41:AA41))</f>
        <v>0.46361066666666673</v>
      </c>
      <c r="AC41">
        <f>IF(OR(V41=1,U41&lt;&gt;0),NA(),(INDEX($B$6:$M$13,($Q$3-1-X41)*$Q$4+1+1,0*$Q$5+W41+1)-0)/$Q$19*$Q$13)</f>
        <v>0.41885600000000001</v>
      </c>
      <c r="AD41" s="6">
        <f>2+$Q$20-(1+$Q$20+_xlfn.AGGREGATE(9,6,AC41:AC41))</f>
        <v>0.5811440000000001</v>
      </c>
      <c r="AE41">
        <f>IF(OR(V41=1,U41&lt;&gt;0),NA(),(INDEX($B$6:$M$13,($Q$3-1-X41)*$Q$4+2+1,0*$Q$5+W41+1)-0)/$Q$19*$Q$13)</f>
        <v>0.61636666666666662</v>
      </c>
      <c r="AF41" s="6">
        <f>3+$Q$20-(2+$Q$20+_xlfn.AGGREGATE(9,6,AE41:AE41))</f>
        <v>0.38363333333333349</v>
      </c>
      <c r="AG41">
        <f>IF(OR(V41=1,U41&lt;&gt;0),NA(),(INDEX($B$6:$M$13,($Q$3-1-X41)*$Q$4+3+1,0*$Q$5+W41+1)-0)/$Q$19*$Q$13)</f>
        <v>0.49883333333333324</v>
      </c>
      <c r="AP41">
        <v>28.5</v>
      </c>
    </row>
    <row r="42" spans="16:50" x14ac:dyDescent="0.35">
      <c r="P42">
        <v>19</v>
      </c>
      <c r="Q42">
        <f>P42-$Q$12</f>
        <v>17</v>
      </c>
      <c r="R42">
        <f>IF(Q42&lt;=0,-1,INT((Q42-1)/($Q$10+$Q$11)))</f>
        <v>1</v>
      </c>
      <c r="S42">
        <f>IF(Q42&lt;=0,-1,MOD(Q42-1,($Q$10+$Q$11)))</f>
        <v>2</v>
      </c>
      <c r="T42">
        <f>IF(OR(S42&lt;0,S42&gt;=$Q$10),-1,INT(S42/$Q$9))</f>
        <v>2</v>
      </c>
      <c r="U42">
        <f>IF(OR(S42&lt;0,S42&gt;=$Q$10),-1,MOD(S42,$Q$9))</f>
        <v>0</v>
      </c>
      <c r="V42">
        <f>IF(OR(Q42&lt;=0,S42&lt;0,S42&gt;=$Q$10,R42&gt;=$Q$7),1,0)</f>
        <v>0</v>
      </c>
      <c r="W42">
        <f>IF(V42=1,-1,$Q$5-1-T42)</f>
        <v>9</v>
      </c>
      <c r="X42">
        <f>IF(V42=1,-1,R42)</f>
        <v>1</v>
      </c>
      <c r="Y42" t="str">
        <f>IF(V42=1,"",IF(AND(MOD(W42,1)=0,U42=INT(($Q$9-1)/2)),INDEX($B$5:$M$5,W42+1),""))</f>
        <v>Oct</v>
      </c>
      <c r="Z42" s="6">
        <f>0+$Q$20</f>
        <v>0</v>
      </c>
      <c r="AA42">
        <f>IF(OR(V42=1,U42&lt;&gt;0),NA(),(INDEX($B$6:$M$13,($Q$3-1-X42)*$Q$4+0+1,0*$Q$5+W42+1)-0)/$Q$19*$Q$13)</f>
        <v>0.49287466666666663</v>
      </c>
      <c r="AB42" s="6">
        <f>1+$Q$20-(0+$Q$20+_xlfn.AGGREGATE(9,6,AA42:AA42))</f>
        <v>0.50712533333333343</v>
      </c>
      <c r="AC42">
        <f>IF(OR(V42=1,U42&lt;&gt;0),NA(),(INDEX($B$6:$M$13,($Q$3-1-X42)*$Q$4+1+1,0*$Q$5+W42+1)-0)/$Q$19*$Q$13)</f>
        <v>0.37834800000000002</v>
      </c>
      <c r="AD42" s="6">
        <f>2+$Q$20-(1+$Q$20+_xlfn.AGGREGATE(9,6,AC42:AC42))</f>
        <v>0.62165200000000009</v>
      </c>
      <c r="AE42">
        <f>IF(OR(V42=1,U42&lt;&gt;0),NA(),(INDEX($B$6:$M$13,($Q$3-1-X42)*$Q$4+2+1,0*$Q$5+W42+1)-0)/$Q$19*$Q$13)</f>
        <v>0.66901066666666664</v>
      </c>
      <c r="AF42" s="6">
        <f>3+$Q$20-(2+$Q$20+_xlfn.AGGREGATE(9,6,AE42:AE42))</f>
        <v>0.33098933333333314</v>
      </c>
      <c r="AG42">
        <f>IF(OR(V42=1,U42&lt;&gt;0),NA(),(INDEX($B$6:$M$13,($Q$3-1-X42)*$Q$4+3+1,0*$Q$5+W42+1)-0)/$Q$19*$Q$13)</f>
        <v>0.45608399999999988</v>
      </c>
      <c r="AO42">
        <f>IF(OR($Q$17&gt;0,$Q$18&lt;0),NA(),3+$Q$20)</f>
        <v>3</v>
      </c>
      <c r="AP42">
        <v>2.5</v>
      </c>
    </row>
    <row r="43" spans="16:50" x14ac:dyDescent="0.35">
      <c r="P43">
        <v>20</v>
      </c>
      <c r="Q43">
        <f>P43-$Q$12</f>
        <v>18</v>
      </c>
      <c r="R43">
        <f>IF(Q43&lt;=0,-1,INT((Q43-1)/($Q$10+$Q$11)))</f>
        <v>1</v>
      </c>
      <c r="S43">
        <f>IF(Q43&lt;=0,-1,MOD(Q43-1,($Q$10+$Q$11)))</f>
        <v>3</v>
      </c>
      <c r="T43">
        <f>IF(OR(S43&lt;0,S43&gt;=$Q$10),-1,INT(S43/$Q$9))</f>
        <v>3</v>
      </c>
      <c r="U43">
        <f>IF(OR(S43&lt;0,S43&gt;=$Q$10),-1,MOD(S43,$Q$9))</f>
        <v>0</v>
      </c>
      <c r="V43">
        <f>IF(OR(Q43&lt;=0,S43&lt;0,S43&gt;=$Q$10,R43&gt;=$Q$7),1,0)</f>
        <v>0</v>
      </c>
      <c r="W43">
        <f>IF(V43=1,-1,$Q$5-1-T43)</f>
        <v>8</v>
      </c>
      <c r="X43">
        <f>IF(V43=1,-1,R43)</f>
        <v>1</v>
      </c>
      <c r="Y43" t="str">
        <f>IF(V43=1,"",IF(AND(MOD(W43,1)=0,U43=INT(($Q$9-1)/2)),INDEX($B$5:$M$5,W43+1),""))</f>
        <v>Sep</v>
      </c>
      <c r="Z43" s="6">
        <f>0+$Q$20</f>
        <v>0</v>
      </c>
      <c r="AA43">
        <f>IF(OR(V43=1,U43&lt;&gt;0),NA(),(INDEX($B$6:$M$13,($Q$3-1-X43)*$Q$4+0+1,0*$Q$5+W43+1)-0)/$Q$19*$Q$13)</f>
        <v>0.54776000000000002</v>
      </c>
      <c r="AB43" s="6">
        <f>1+$Q$20-(0+$Q$20+_xlfn.AGGREGATE(9,6,AA43:AA43))</f>
        <v>0.45223999999999998</v>
      </c>
      <c r="AC43">
        <f>IF(OR(V43=1,U43&lt;&gt;0),NA(),(INDEX($B$6:$M$13,($Q$3-1-X43)*$Q$4+1+1,0*$Q$5+W43+1)-0)/$Q$19*$Q$13)</f>
        <v>0.33783999999999997</v>
      </c>
      <c r="AD43" s="6">
        <f>2+$Q$20-(1+$Q$20+_xlfn.AGGREGATE(9,6,AC43:AC43))</f>
        <v>0.66216000000000008</v>
      </c>
      <c r="AE43">
        <f>IF(OR(V43=1,U43&lt;&gt;0),NA(),(INDEX($B$6:$M$13,($Q$3-1-X43)*$Q$4+2+1,0*$Q$5+W43+1)-0)/$Q$19*$Q$13)</f>
        <v>0.62319999999999998</v>
      </c>
      <c r="AF43" s="6">
        <f>3+$Q$20-(2+$Q$20+_xlfn.AGGREGATE(9,6,AE43:AE43))</f>
        <v>0.37680000000000025</v>
      </c>
      <c r="AG43">
        <f>IF(OR(V43=1,U43&lt;&gt;0),NA(),(INDEX($B$6:$M$13,($Q$3-1-X43)*$Q$4+3+1,0*$Q$5+W43+1)-0)/$Q$19*$Q$13)</f>
        <v>0.51168000000000002</v>
      </c>
      <c r="AO43">
        <f>IF(OR($Q$17&gt;0,$Q$18&lt;0),NA(),3+$Q$20)</f>
        <v>3</v>
      </c>
      <c r="AP43">
        <v>14.5</v>
      </c>
    </row>
    <row r="44" spans="16:50" x14ac:dyDescent="0.35">
      <c r="P44">
        <v>21</v>
      </c>
      <c r="Q44">
        <f>P44-$Q$12</f>
        <v>19</v>
      </c>
      <c r="R44">
        <f>IF(Q44&lt;=0,-1,INT((Q44-1)/($Q$10+$Q$11)))</f>
        <v>1</v>
      </c>
      <c r="S44">
        <f>IF(Q44&lt;=0,-1,MOD(Q44-1,($Q$10+$Q$11)))</f>
        <v>4</v>
      </c>
      <c r="T44">
        <f>IF(OR(S44&lt;0,S44&gt;=$Q$10),-1,INT(S44/$Q$9))</f>
        <v>4</v>
      </c>
      <c r="U44">
        <f>IF(OR(S44&lt;0,S44&gt;=$Q$10),-1,MOD(S44,$Q$9))</f>
        <v>0</v>
      </c>
      <c r="V44">
        <f>IF(OR(Q44&lt;=0,S44&lt;0,S44&gt;=$Q$10,R44&gt;=$Q$7),1,0)</f>
        <v>0</v>
      </c>
      <c r="W44">
        <f>IF(V44=1,-1,$Q$5-1-T44)</f>
        <v>7</v>
      </c>
      <c r="X44">
        <f>IF(V44=1,-1,R44)</f>
        <v>1</v>
      </c>
      <c r="Y44" t="str">
        <f>IF(V44=1,"",IF(AND(MOD(W44,1)=0,U44=INT(($Q$9-1)/2)),INDEX($B$5:$M$5,W44+1),""))</f>
        <v>Aug</v>
      </c>
      <c r="Z44" s="6">
        <f>0+$Q$20</f>
        <v>0</v>
      </c>
      <c r="AA44">
        <f>IF(OR(V44=1,U44&lt;&gt;0),NA(),(INDEX($B$6:$M$13,($Q$3-1-X44)*$Q$4+0+1,0*$Q$5+W44+1)-0)/$Q$19*$Q$13)</f>
        <v>0.50424533333333332</v>
      </c>
      <c r="AB44" s="6">
        <f>1+$Q$20-(0+$Q$20+_xlfn.AGGREGATE(9,6,AA44:AA44))</f>
        <v>0.49575466666666668</v>
      </c>
      <c r="AC44">
        <f>IF(OR(V44=1,U44&lt;&gt;0),NA(),(INDEX($B$6:$M$13,($Q$3-1-X44)*$Q$4+1+1,0*$Q$5+W44+1)-0)/$Q$19*$Q$13)</f>
        <v>0.39573199999999997</v>
      </c>
      <c r="AD44" s="6">
        <f>2+$Q$20-(1+$Q$20+_xlfn.AGGREGATE(9,6,AC44:AC44))</f>
        <v>0.60426800000000003</v>
      </c>
      <c r="AE44">
        <f>IF(OR(V44=1,U44&lt;&gt;0),NA(),(INDEX($B$6:$M$13,($Q$3-1-X44)*$Q$4+2+1,0*$Q$5+W44+1)-0)/$Q$19*$Q$13)</f>
        <v>0.57738933333333331</v>
      </c>
      <c r="AF44" s="6">
        <f>3+$Q$20-(2+$Q$20+_xlfn.AGGREGATE(9,6,AE44:AE44))</f>
        <v>0.42261066666666647</v>
      </c>
      <c r="AG44">
        <f>IF(OR(V44=1,U44&lt;&gt;0),NA(),(INDEX($B$6:$M$13,($Q$3-1-X44)*$Q$4+3+1,0*$Q$5+W44+1)-0)/$Q$19*$Q$13)</f>
        <v>0.46893066666666661</v>
      </c>
      <c r="AP44">
        <v>14.5</v>
      </c>
    </row>
    <row r="45" spans="16:50" x14ac:dyDescent="0.35">
      <c r="P45">
        <v>22</v>
      </c>
      <c r="Q45">
        <f>P45-$Q$12</f>
        <v>20</v>
      </c>
      <c r="R45">
        <f>IF(Q45&lt;=0,-1,INT((Q45-1)/($Q$10+$Q$11)))</f>
        <v>1</v>
      </c>
      <c r="S45">
        <f>IF(Q45&lt;=0,-1,MOD(Q45-1,($Q$10+$Q$11)))</f>
        <v>5</v>
      </c>
      <c r="T45">
        <f>IF(OR(S45&lt;0,S45&gt;=$Q$10),-1,INT(S45/$Q$9))</f>
        <v>5</v>
      </c>
      <c r="U45">
        <f>IF(OR(S45&lt;0,S45&gt;=$Q$10),-1,MOD(S45,$Q$9))</f>
        <v>0</v>
      </c>
      <c r="V45">
        <f>IF(OR(Q45&lt;=0,S45&lt;0,S45&gt;=$Q$10,R45&gt;=$Q$7),1,0)</f>
        <v>0</v>
      </c>
      <c r="W45">
        <f>IF(V45=1,-1,$Q$5-1-T45)</f>
        <v>6</v>
      </c>
      <c r="X45">
        <f>IF(V45=1,-1,R45)</f>
        <v>1</v>
      </c>
      <c r="Y45" t="str">
        <f>IF(V45=1,"",IF(AND(MOD(W45,1)=0,U45=INT(($Q$9-1)/2)),INDEX($B$5:$M$5,W45+1),""))</f>
        <v>Jul</v>
      </c>
      <c r="Z45" s="6">
        <f>0+$Q$20</f>
        <v>0</v>
      </c>
      <c r="AA45">
        <f>IF(OR(V45=1,U45&lt;&gt;0),NA(),(INDEX($B$6:$M$13,($Q$3-1-X45)*$Q$4+0+1,0*$Q$5+W45+1)-0)/$Q$19*$Q$13)</f>
        <v>0.46067600000000003</v>
      </c>
      <c r="AB45" s="6">
        <f>1+$Q$20-(0+$Q$20+_xlfn.AGGREGATE(9,6,AA45:AA45))</f>
        <v>0.53932399999999991</v>
      </c>
      <c r="AC45">
        <f>IF(OR(V45=1,U45&lt;&gt;0),NA(),(INDEX($B$6:$M$13,($Q$3-1-X45)*$Q$4+1+1,0*$Q$5+W45+1)-0)/$Q$19*$Q$13)</f>
        <v>0.35522399999999998</v>
      </c>
      <c r="AD45" s="6">
        <f>2+$Q$20-(1+$Q$20+_xlfn.AGGREGATE(9,6,AC45:AC45))</f>
        <v>0.64477600000000002</v>
      </c>
      <c r="AE45">
        <f>IF(OR(V45=1,U45&lt;&gt;0),NA(),(INDEX($B$6:$M$13,($Q$3-1-X45)*$Q$4+2+1,0*$Q$5+W45+1)-0)/$Q$19*$Q$13)</f>
        <v>0.63003333333333333</v>
      </c>
      <c r="AF45" s="6">
        <f>3+$Q$20-(2+$Q$20+_xlfn.AGGREGATE(9,6,AE45:AE45))</f>
        <v>0.36996666666666655</v>
      </c>
      <c r="AG45">
        <f>IF(OR(V45=1,U45&lt;&gt;0),NA(),(INDEX($B$6:$M$13,($Q$3-1-X45)*$Q$4+3+1,0*$Q$5+W45+1)-0)/$Q$19*$Q$13)</f>
        <v>0.42612666666666671</v>
      </c>
      <c r="AO45">
        <f>IF(OR($Q$17&gt;0,$Q$18&lt;0),NA(),3+$Q$20)</f>
        <v>3</v>
      </c>
      <c r="AP45">
        <v>16.5</v>
      </c>
    </row>
    <row r="46" spans="16:50" x14ac:dyDescent="0.35">
      <c r="P46">
        <v>23</v>
      </c>
      <c r="Q46">
        <f>P46-$Q$12</f>
        <v>21</v>
      </c>
      <c r="R46">
        <f>IF(Q46&lt;=0,-1,INT((Q46-1)/($Q$10+$Q$11)))</f>
        <v>1</v>
      </c>
      <c r="S46">
        <f>IF(Q46&lt;=0,-1,MOD(Q46-1,($Q$10+$Q$11)))</f>
        <v>6</v>
      </c>
      <c r="T46">
        <f>IF(OR(S46&lt;0,S46&gt;=$Q$10),-1,INT(S46/$Q$9))</f>
        <v>6</v>
      </c>
      <c r="U46">
        <f>IF(OR(S46&lt;0,S46&gt;=$Q$10),-1,MOD(S46,$Q$9))</f>
        <v>0</v>
      </c>
      <c r="V46">
        <f>IF(OR(Q46&lt;=0,S46&lt;0,S46&gt;=$Q$10,R46&gt;=$Q$7),1,0)</f>
        <v>0</v>
      </c>
      <c r="W46">
        <f>IF(V46=1,-1,$Q$5-1-T46)</f>
        <v>5</v>
      </c>
      <c r="X46">
        <f>IF(V46=1,-1,R46)</f>
        <v>1</v>
      </c>
      <c r="Y46" t="str">
        <f>IF(V46=1,"",IF(AND(MOD(W46,1)=0,U46=INT(($Q$9-1)/2)),INDEX($B$5:$M$5,W46+1),""))</f>
        <v>Jun</v>
      </c>
      <c r="Z46" s="6">
        <f>0+$Q$20</f>
        <v>0</v>
      </c>
      <c r="AA46">
        <f>IF(OR(V46=1,U46&lt;&gt;0),NA(),(INDEX($B$6:$M$13,($Q$3-1-X46)*$Q$4+0+1,0*$Q$5+W46+1)-0)/$Q$19*$Q$13)</f>
        <v>0.51556133333333332</v>
      </c>
      <c r="AB46" s="6">
        <f>1+$Q$20-(0+$Q$20+_xlfn.AGGREGATE(9,6,AA46:AA46))</f>
        <v>0.48443866666666668</v>
      </c>
      <c r="AC46">
        <f>IF(OR(V46=1,U46&lt;&gt;0),NA(),(INDEX($B$6:$M$13,($Q$3-1-X46)*$Q$4+1+1,0*$Q$5+W46+1)-0)/$Q$19*$Q$13)</f>
        <v>0.31466133333333335</v>
      </c>
      <c r="AD46" s="6">
        <f>2+$Q$20-(1+$Q$20+_xlfn.AGGREGATE(9,6,AC46:AC46))</f>
        <v>0.68533866666666654</v>
      </c>
      <c r="AE46">
        <f>IF(OR(V46=1,U46&lt;&gt;0),NA(),(INDEX($B$6:$M$13,($Q$3-1-X46)*$Q$4+2+1,0*$Q$5+W46+1)-0)/$Q$19*$Q$13)</f>
        <v>0.58427733333333332</v>
      </c>
      <c r="AF46" s="6">
        <f>3+$Q$20-(2+$Q$20+_xlfn.AGGREGATE(9,6,AE46:AE46))</f>
        <v>0.41572266666666646</v>
      </c>
      <c r="AG46">
        <f>IF(OR(V46=1,U46&lt;&gt;0),NA(),(INDEX($B$6:$M$13,($Q$3-1-X46)*$Q$4+3+1,0*$Q$5+W46+1)-0)/$Q$19*$Q$13)</f>
        <v>0.48172266666666663</v>
      </c>
      <c r="AO46">
        <f>IF(OR($Q$17&gt;0,$Q$18&lt;0),NA(),3+$Q$20)</f>
        <v>3</v>
      </c>
      <c r="AP46">
        <v>28.5</v>
      </c>
    </row>
    <row r="47" spans="16:50" x14ac:dyDescent="0.35">
      <c r="P47">
        <v>24</v>
      </c>
      <c r="Q47">
        <f>P47-$Q$12</f>
        <v>22</v>
      </c>
      <c r="R47">
        <f>IF(Q47&lt;=0,-1,INT((Q47-1)/($Q$10+$Q$11)))</f>
        <v>1</v>
      </c>
      <c r="S47">
        <f>IF(Q47&lt;=0,-1,MOD(Q47-1,($Q$10+$Q$11)))</f>
        <v>7</v>
      </c>
      <c r="T47">
        <f>IF(OR(S47&lt;0,S47&gt;=$Q$10),-1,INT(S47/$Q$9))</f>
        <v>7</v>
      </c>
      <c r="U47">
        <f>IF(OR(S47&lt;0,S47&gt;=$Q$10),-1,MOD(S47,$Q$9))</f>
        <v>0</v>
      </c>
      <c r="V47">
        <f>IF(OR(Q47&lt;=0,S47&lt;0,S47&gt;=$Q$10,R47&gt;=$Q$7),1,0)</f>
        <v>0</v>
      </c>
      <c r="W47">
        <f>IF(V47=1,-1,$Q$5-1-T47)</f>
        <v>4</v>
      </c>
      <c r="X47">
        <f>IF(V47=1,-1,R47)</f>
        <v>1</v>
      </c>
      <c r="Y47" t="str">
        <f>IF(V47=1,"",IF(AND(MOD(W47,1)=0,U47=INT(($Q$9-1)/2)),INDEX($B$5:$M$5,W47+1),""))</f>
        <v>May</v>
      </c>
      <c r="Z47" s="6">
        <f>0+$Q$20</f>
        <v>0</v>
      </c>
      <c r="AA47">
        <f>IF(OR(V47=1,U47&lt;&gt;0),NA(),(INDEX($B$6:$M$13,($Q$3-1-X47)*$Q$4+0+1,0*$Q$5+W47+1)-0)/$Q$19*$Q$13)</f>
        <v>0.47204666666666661</v>
      </c>
      <c r="AB47" s="6">
        <f>1+$Q$20-(0+$Q$20+_xlfn.AGGREGATE(9,6,AA47:AA47))</f>
        <v>0.52795333333333339</v>
      </c>
      <c r="AC47">
        <f>IF(OR(V47=1,U47&lt;&gt;0),NA(),(INDEX($B$6:$M$13,($Q$3-1-X47)*$Q$4+1+1,0*$Q$5+W47+1)-0)/$Q$19*$Q$13)</f>
        <v>0.37255333333333329</v>
      </c>
      <c r="AD47" s="6">
        <f>2+$Q$20-(1+$Q$20+_xlfn.AGGREGATE(9,6,AC47:AC47))</f>
        <v>0.62744666666666671</v>
      </c>
      <c r="AE47">
        <f>IF(OR(V47=1,U47&lt;&gt;0),NA(),(INDEX($B$6:$M$13,($Q$3-1-X47)*$Q$4+2+1,0*$Q$5+W47+1)-0)/$Q$19*$Q$13)</f>
        <v>0.53846666666666665</v>
      </c>
      <c r="AF47" s="6">
        <f>3+$Q$20-(2+$Q$20+_xlfn.AGGREGATE(9,6,AE47:AE47))</f>
        <v>0.46153333333333357</v>
      </c>
      <c r="AG47">
        <f>IF(OR(V47=1,U47&lt;&gt;0),NA(),(INDEX($B$6:$M$13,($Q$3-1-X47)*$Q$4+3+1,0*$Q$5+W47+1)-0)/$Q$19*$Q$13)</f>
        <v>0.43897333333333333</v>
      </c>
      <c r="AP47">
        <v>28.5</v>
      </c>
    </row>
    <row r="48" spans="16:50" x14ac:dyDescent="0.35">
      <c r="P48">
        <v>25</v>
      </c>
      <c r="Q48">
        <f>P48-$Q$12</f>
        <v>23</v>
      </c>
      <c r="R48">
        <f>IF(Q48&lt;=0,-1,INT((Q48-1)/($Q$10+$Q$11)))</f>
        <v>1</v>
      </c>
      <c r="S48">
        <f>IF(Q48&lt;=0,-1,MOD(Q48-1,($Q$10+$Q$11)))</f>
        <v>8</v>
      </c>
      <c r="T48">
        <f>IF(OR(S48&lt;0,S48&gt;=$Q$10),-1,INT(S48/$Q$9))</f>
        <v>8</v>
      </c>
      <c r="U48">
        <f>IF(OR(S48&lt;0,S48&gt;=$Q$10),-1,MOD(S48,$Q$9))</f>
        <v>0</v>
      </c>
      <c r="V48">
        <f>IF(OR(Q48&lt;=0,S48&lt;0,S48&gt;=$Q$10,R48&gt;=$Q$7),1,0)</f>
        <v>0</v>
      </c>
      <c r="W48">
        <f>IF(V48=1,-1,$Q$5-1-T48)</f>
        <v>3</v>
      </c>
      <c r="X48">
        <f>IF(V48=1,-1,R48)</f>
        <v>1</v>
      </c>
      <c r="Y48" t="str">
        <f>IF(V48=1,"",IF(AND(MOD(W48,1)=0,U48=INT(($Q$9-1)/2)),INDEX($B$5:$M$5,W48+1),""))</f>
        <v>Apr</v>
      </c>
      <c r="Z48" s="6">
        <f>0+$Q$20</f>
        <v>0</v>
      </c>
      <c r="AA48">
        <f>IF(OR(V48=1,U48&lt;&gt;0),NA(),(INDEX($B$6:$M$13,($Q$3-1-X48)*$Q$4+0+1,0*$Q$5+W48+1)-0)/$Q$19*$Q$13)</f>
        <v>0.42853199999999991</v>
      </c>
      <c r="AB48" s="6">
        <f>1+$Q$20-(0+$Q$20+_xlfn.AGGREGATE(9,6,AA48:AA48))</f>
        <v>0.57146800000000009</v>
      </c>
      <c r="AC48">
        <f>IF(OR(V48=1,U48&lt;&gt;0),NA(),(INDEX($B$6:$M$13,($Q$3-1-X48)*$Q$4+1+1,0*$Q$5+W48+1)-0)/$Q$19*$Q$13)</f>
        <v>0.3320453333333333</v>
      </c>
      <c r="AD48" s="6">
        <f>2+$Q$20-(1+$Q$20+_xlfn.AGGREGATE(9,6,AC48:AC48))</f>
        <v>0.6679546666666667</v>
      </c>
      <c r="AE48">
        <f>IF(OR(V48=1,U48&lt;&gt;0),NA(),(INDEX($B$6:$M$13,($Q$3-1-X48)*$Q$4+2+1,0*$Q$5+W48+1)-0)/$Q$19*$Q$13)</f>
        <v>0.59105599999999991</v>
      </c>
      <c r="AF48" s="6">
        <f>3+$Q$20-(2+$Q$20+_xlfn.AGGREGATE(9,6,AE48:AE48))</f>
        <v>0.40894399999999997</v>
      </c>
      <c r="AG48">
        <f>IF(OR(V48=1,U48&lt;&gt;0),NA(),(INDEX($B$6:$M$13,($Q$3-1-X48)*$Q$4+3+1,0*$Q$5+W48+1)-0)/$Q$19*$Q$13)</f>
        <v>0.39622399999999997</v>
      </c>
    </row>
    <row r="49" spans="16:33" x14ac:dyDescent="0.35">
      <c r="P49">
        <v>26</v>
      </c>
      <c r="Q49">
        <f>P49-$Q$12</f>
        <v>24</v>
      </c>
      <c r="R49">
        <f>IF(Q49&lt;=0,-1,INT((Q49-1)/($Q$10+$Q$11)))</f>
        <v>1</v>
      </c>
      <c r="S49">
        <f>IF(Q49&lt;=0,-1,MOD(Q49-1,($Q$10+$Q$11)))</f>
        <v>9</v>
      </c>
      <c r="T49">
        <f>IF(OR(S49&lt;0,S49&gt;=$Q$10),-1,INT(S49/$Q$9))</f>
        <v>9</v>
      </c>
      <c r="U49">
        <f>IF(OR(S49&lt;0,S49&gt;=$Q$10),-1,MOD(S49,$Q$9))</f>
        <v>0</v>
      </c>
      <c r="V49">
        <f>IF(OR(Q49&lt;=0,S49&lt;0,S49&gt;=$Q$10,R49&gt;=$Q$7),1,0)</f>
        <v>0</v>
      </c>
      <c r="W49">
        <f>IF(V49=1,-1,$Q$5-1-T49)</f>
        <v>2</v>
      </c>
      <c r="X49">
        <f>IF(V49=1,-1,R49)</f>
        <v>1</v>
      </c>
      <c r="Y49" t="str">
        <f>IF(V49=1,"",IF(AND(MOD(W49,1)=0,U49=INT(($Q$9-1)/2)),INDEX($B$5:$M$5,W49+1),""))</f>
        <v>Mar</v>
      </c>
      <c r="Z49" s="6">
        <f>0+$Q$20</f>
        <v>0</v>
      </c>
      <c r="AA49">
        <f>IF(OR(V49=1,U49&lt;&gt;0),NA(),(INDEX($B$6:$M$13,($Q$3-1-X49)*$Q$4+0+1,0*$Q$5+W49+1)-0)/$Q$19*$Q$13)</f>
        <v>0.48336266666666666</v>
      </c>
      <c r="AB49" s="6">
        <f>1+$Q$20-(0+$Q$20+_xlfn.AGGREGATE(9,6,AA49:AA49))</f>
        <v>0.51663733333333339</v>
      </c>
      <c r="AC49">
        <f>IF(OR(V49=1,U49&lt;&gt;0),NA(),(INDEX($B$6:$M$13,($Q$3-1-X49)*$Q$4+1+1,0*$Q$5+W49+1)-0)/$Q$19*$Q$13)</f>
        <v>0.29148266666666667</v>
      </c>
      <c r="AD49" s="6">
        <f>2+$Q$20-(1+$Q$20+_xlfn.AGGREGATE(9,6,AC49:AC49))</f>
        <v>0.70851733333333344</v>
      </c>
      <c r="AE49">
        <f>IF(OR(V49=1,U49&lt;&gt;0),NA(),(INDEX($B$6:$M$13,($Q$3-1-X49)*$Q$4+2+1,0*$Q$5+W49+1)-0)/$Q$19*$Q$13)</f>
        <v>0.54530000000000001</v>
      </c>
      <c r="AF49" s="6">
        <f>3+$Q$20-(2+$Q$20+_xlfn.AGGREGATE(9,6,AE49:AE49))</f>
        <v>0.45469999999999988</v>
      </c>
      <c r="AG49">
        <f>IF(OR(V49=1,U49&lt;&gt;0),NA(),(INDEX($B$6:$M$13,($Q$3-1-X49)*$Q$4+3+1,0*$Q$5+W49+1)-0)/$Q$19*$Q$13)</f>
        <v>0.45182</v>
      </c>
    </row>
    <row r="50" spans="16:33" x14ac:dyDescent="0.35">
      <c r="P50">
        <v>27</v>
      </c>
      <c r="Q50">
        <f>P50-$Q$12</f>
        <v>25</v>
      </c>
      <c r="R50">
        <f>IF(Q50&lt;=0,-1,INT((Q50-1)/($Q$10+$Q$11)))</f>
        <v>1</v>
      </c>
      <c r="S50">
        <f>IF(Q50&lt;=0,-1,MOD(Q50-1,($Q$10+$Q$11)))</f>
        <v>10</v>
      </c>
      <c r="T50">
        <f>IF(OR(S50&lt;0,S50&gt;=$Q$10),-1,INT(S50/$Q$9))</f>
        <v>10</v>
      </c>
      <c r="U50">
        <f>IF(OR(S50&lt;0,S50&gt;=$Q$10),-1,MOD(S50,$Q$9))</f>
        <v>0</v>
      </c>
      <c r="V50">
        <f>IF(OR(Q50&lt;=0,S50&lt;0,S50&gt;=$Q$10,R50&gt;=$Q$7),1,0)</f>
        <v>0</v>
      </c>
      <c r="W50">
        <f>IF(V50=1,-1,$Q$5-1-T50)</f>
        <v>1</v>
      </c>
      <c r="X50">
        <f>IF(V50=1,-1,R50)</f>
        <v>1</v>
      </c>
      <c r="Y50" t="str">
        <f>IF(V50=1,"",IF(AND(MOD(W50,1)=0,U50=INT(($Q$9-1)/2)),INDEX($B$5:$M$5,W50+1),""))</f>
        <v>Feb</v>
      </c>
      <c r="Z50" s="6">
        <f>0+$Q$20</f>
        <v>0</v>
      </c>
      <c r="AA50">
        <f>IF(OR(V50=1,U50&lt;&gt;0),NA(),(INDEX($B$6:$M$13,($Q$3-1-X50)*$Q$4+0+1,0*$Q$5+W50+1)-0)/$Q$19*$Q$13)</f>
        <v>0.43984799999999996</v>
      </c>
      <c r="AB50" s="6">
        <f>1+$Q$20-(0+$Q$20+_xlfn.AGGREGATE(9,6,AA50:AA50))</f>
        <v>0.56015199999999998</v>
      </c>
      <c r="AC50">
        <f>IF(OR(V50=1,U50&lt;&gt;0),NA(),(INDEX($B$6:$M$13,($Q$3-1-X50)*$Q$4+1+1,0*$Q$5+W50+1)-0)/$Q$19*$Q$13)</f>
        <v>0.34937466666666667</v>
      </c>
      <c r="AD50" s="6">
        <f>2+$Q$20-(1+$Q$20+_xlfn.AGGREGATE(9,6,AC50:AC50))</f>
        <v>0.65062533333333339</v>
      </c>
      <c r="AE50">
        <f>IF(OR(V50=1,U50&lt;&gt;0),NA(),(INDEX($B$6:$M$13,($Q$3-1-X50)*$Q$4+2+1,0*$Q$5+W50+1)-0)/$Q$19*$Q$13)</f>
        <v>0.4994893333333334</v>
      </c>
      <c r="AF50" s="6">
        <f>3+$Q$20-(2+$Q$20+_xlfn.AGGREGATE(9,6,AE50:AE50))</f>
        <v>0.50051066666666655</v>
      </c>
      <c r="AG50">
        <f>IF(OR(V50=1,U50&lt;&gt;0),NA(),(INDEX($B$6:$M$13,($Q$3-1-X50)*$Q$4+3+1,0*$Q$5+W50+1)-0)/$Q$19*$Q$13)</f>
        <v>0.40901599999999999</v>
      </c>
    </row>
    <row r="51" spans="16:33" x14ac:dyDescent="0.35">
      <c r="P51">
        <v>28</v>
      </c>
      <c r="Q51">
        <f>P51-$Q$12</f>
        <v>26</v>
      </c>
      <c r="R51">
        <f>IF(Q51&lt;=0,-1,INT((Q51-1)/($Q$10+$Q$11)))</f>
        <v>1</v>
      </c>
      <c r="S51">
        <f>IF(Q51&lt;=0,-1,MOD(Q51-1,($Q$10+$Q$11)))</f>
        <v>11</v>
      </c>
      <c r="T51">
        <f>IF(OR(S51&lt;0,S51&gt;=$Q$10),-1,INT(S51/$Q$9))</f>
        <v>11</v>
      </c>
      <c r="U51">
        <f>IF(OR(S51&lt;0,S51&gt;=$Q$10),-1,MOD(S51,$Q$9))</f>
        <v>0</v>
      </c>
      <c r="V51">
        <f>IF(OR(Q51&lt;=0,S51&lt;0,S51&gt;=$Q$10,R51&gt;=$Q$7),1,0)</f>
        <v>0</v>
      </c>
      <c r="W51">
        <f>IF(V51=1,-1,$Q$5-1-T51)</f>
        <v>0</v>
      </c>
      <c r="X51">
        <f>IF(V51=1,-1,R51)</f>
        <v>1</v>
      </c>
      <c r="Y51" t="str">
        <f>IF(V51=1,"",IF(AND(MOD(W51,1)=0,U51=INT(($Q$9-1)/2)),INDEX($B$5:$M$5,W51+1),""))</f>
        <v>Jan</v>
      </c>
      <c r="Z51" s="6">
        <f>0+$Q$20</f>
        <v>0</v>
      </c>
      <c r="AA51">
        <f>IF(OR(V51=1,U51&lt;&gt;0),NA(),(INDEX($B$6:$M$13,($Q$3-1-X51)*$Q$4+0+1,0*$Q$5+W51+1)-0)/$Q$19*$Q$13)</f>
        <v>0.39633333333333332</v>
      </c>
      <c r="AB51" s="6">
        <f>1+$Q$20-(0+$Q$20+_xlfn.AGGREGATE(9,6,AA51:AA51))</f>
        <v>0.60366666666666668</v>
      </c>
      <c r="AC51">
        <f>IF(OR(V51=1,U51&lt;&gt;0),NA(),(INDEX($B$6:$M$13,($Q$3-1-X51)*$Q$4+1+1,0*$Q$5+W51+1)-0)/$Q$19*$Q$13)</f>
        <v>0.30886666666666662</v>
      </c>
      <c r="AD51" s="6">
        <f>2+$Q$20-(1+$Q$20+_xlfn.AGGREGATE(9,6,AC51:AC51))</f>
        <v>0.69113333333333338</v>
      </c>
      <c r="AE51">
        <f>IF(OR(V51=1,U51&lt;&gt;0),NA(),(INDEX($B$6:$M$13,($Q$3-1-X51)*$Q$4+2+1,0*$Q$5+W51+1)-0)/$Q$19*$Q$13)</f>
        <v>0.55213333333333325</v>
      </c>
      <c r="AF51" s="6">
        <f>3+$Q$20-(2+$Q$20+_xlfn.AGGREGATE(9,6,AE51:AE51))</f>
        <v>0.44786666666666664</v>
      </c>
      <c r="AG51">
        <f>IF(OR(V51=1,U51&lt;&gt;0),NA(),(INDEX($B$6:$M$13,($Q$3-1-X51)*$Q$4+3+1,0*$Q$5+W51+1)-0)/$Q$19*$Q$13)</f>
        <v>0.36626666666666663</v>
      </c>
    </row>
    <row r="52" spans="16:33" x14ac:dyDescent="0.35">
      <c r="P52">
        <v>29</v>
      </c>
      <c r="Q52">
        <f>P52-$Q$12</f>
        <v>27</v>
      </c>
      <c r="R52">
        <f>IF(Q52&lt;=0,-1,INT((Q52-1)/($Q$10+$Q$11)))</f>
        <v>1</v>
      </c>
      <c r="S52">
        <f>IF(Q52&lt;=0,-1,MOD(Q52-1,($Q$10+$Q$11)))</f>
        <v>12</v>
      </c>
      <c r="T52">
        <f>IF(OR(S52&lt;0,S52&gt;=$Q$10),-1,INT(S52/$Q$9))</f>
        <v>-1</v>
      </c>
      <c r="U52">
        <f>IF(OR(S52&lt;0,S52&gt;=$Q$10),-1,MOD(S52,$Q$9))</f>
        <v>-1</v>
      </c>
      <c r="V52">
        <f>IF(OR(Q52&lt;=0,S52&lt;0,S52&gt;=$Q$10,R52&gt;=$Q$7),1,0)</f>
        <v>1</v>
      </c>
      <c r="W52">
        <f>IF(V52=1,-1,$Q$5-1-T52)</f>
        <v>-1</v>
      </c>
      <c r="X52">
        <f>IF(V52=1,-1,R52)</f>
        <v>-1</v>
      </c>
      <c r="Y52" t="str">
        <f>IF(V52=1,"",IF(AND(MOD(W52,1)=0,U52=INT(($Q$9-1)/2)),INDEX($B$5:$M$5,W52+1),""))</f>
        <v/>
      </c>
      <c r="Z52" s="6">
        <f>0+$Q$20</f>
        <v>0</v>
      </c>
      <c r="AA52" t="e">
        <f>IF(OR(V52=1,U52&lt;&gt;0),NA(),(INDEX($B$6:$M$13,($Q$3-1-X52)*$Q$4+0+1,0*$Q$5+W52+1)-0)/$Q$19*$Q$13)</f>
        <v>#N/A</v>
      </c>
      <c r="AB52" s="6">
        <f>1+$Q$20-(0+$Q$20+_xlfn.AGGREGATE(9,6,AA52:AA52))</f>
        <v>1</v>
      </c>
      <c r="AC52" t="e">
        <f>IF(OR(V52=1,U52&lt;&gt;0),NA(),(INDEX($B$6:$M$13,($Q$3-1-X52)*$Q$4+1+1,0*$Q$5+W52+1)-0)/$Q$19*$Q$13)</f>
        <v>#N/A</v>
      </c>
      <c r="AD52" s="6">
        <f>2+$Q$20-(1+$Q$20+_xlfn.AGGREGATE(9,6,AC52:AC52))</f>
        <v>1</v>
      </c>
      <c r="AE52" t="e">
        <f>IF(OR(V52=1,U52&lt;&gt;0),NA(),(INDEX($B$6:$M$13,($Q$3-1-X52)*$Q$4+2+1,0*$Q$5+W52+1)-0)/$Q$19*$Q$13)</f>
        <v>#N/A</v>
      </c>
      <c r="AF52" s="6">
        <f>3+$Q$20-(2+$Q$20+_xlfn.AGGREGATE(9,6,AE52:AE52))</f>
        <v>1</v>
      </c>
      <c r="AG52" t="e">
        <f>IF(OR(V52=1,U52&lt;&gt;0),NA(),(INDEX($B$6:$M$13,($Q$3-1-X52)*$Q$4+3+1,0*$Q$5+W52+1)-0)/$Q$19*$Q$13)</f>
        <v>#N/A</v>
      </c>
    </row>
    <row r="53" spans="16:33" x14ac:dyDescent="0.35">
      <c r="P53">
        <v>30</v>
      </c>
      <c r="Q53">
        <f>P53-$Q$12</f>
        <v>28</v>
      </c>
      <c r="R53">
        <f>IF(Q53&lt;=0,-1,INT((Q53-1)/($Q$10+$Q$11)))</f>
        <v>1</v>
      </c>
      <c r="S53">
        <f>IF(Q53&lt;=0,-1,MOD(Q53-1,($Q$10+$Q$11)))</f>
        <v>13</v>
      </c>
      <c r="T53">
        <f>IF(OR(S53&lt;0,S53&gt;=$Q$10),-1,INT(S53/$Q$9))</f>
        <v>-1</v>
      </c>
      <c r="U53">
        <f>IF(OR(S53&lt;0,S53&gt;=$Q$10),-1,MOD(S53,$Q$9))</f>
        <v>-1</v>
      </c>
      <c r="V53">
        <f>IF(OR(Q53&lt;=0,S53&lt;0,S53&gt;=$Q$10,R53&gt;=$Q$7),1,0)</f>
        <v>1</v>
      </c>
      <c r="W53">
        <f>IF(V53=1,-1,$Q$5-1-T53)</f>
        <v>-1</v>
      </c>
      <c r="X53">
        <f>IF(V53=1,-1,R53)</f>
        <v>-1</v>
      </c>
      <c r="Y53" t="str">
        <f>IF(V53=1,"",IF(AND(MOD(W53,1)=0,U53=INT(($Q$9-1)/2)),INDEX($B$5:$M$5,W53+1),""))</f>
        <v/>
      </c>
      <c r="Z53" s="6">
        <f>0+$Q$20</f>
        <v>0</v>
      </c>
      <c r="AA53" t="e">
        <f>IF(OR(V53=1,U53&lt;&gt;0),NA(),(INDEX($B$6:$M$13,($Q$3-1-X53)*$Q$4+0+1,0*$Q$5+W53+1)-0)/$Q$19*$Q$13)</f>
        <v>#N/A</v>
      </c>
      <c r="AB53" s="6">
        <f>1+$Q$20-(0+$Q$20+_xlfn.AGGREGATE(9,6,AA53:AA53))</f>
        <v>1</v>
      </c>
      <c r="AC53" t="e">
        <f>IF(OR(V53=1,U53&lt;&gt;0),NA(),(INDEX($B$6:$M$13,($Q$3-1-X53)*$Q$4+1+1,0*$Q$5+W53+1)-0)/$Q$19*$Q$13)</f>
        <v>#N/A</v>
      </c>
      <c r="AD53" s="6">
        <f>2+$Q$20-(1+$Q$20+_xlfn.AGGREGATE(9,6,AC53:AC53))</f>
        <v>1</v>
      </c>
      <c r="AE53" t="e">
        <f>IF(OR(V53=1,U53&lt;&gt;0),NA(),(INDEX($B$6:$M$13,($Q$3-1-X53)*$Q$4+2+1,0*$Q$5+W53+1)-0)/$Q$19*$Q$13)</f>
        <v>#N/A</v>
      </c>
      <c r="AF53" s="6">
        <f>3+$Q$20-(2+$Q$20+_xlfn.AGGREGATE(9,6,AE53:AE53))</f>
        <v>1</v>
      </c>
      <c r="AG53" t="e">
        <f>IF(OR(V53=1,U53&lt;&gt;0),NA(),(INDEX($B$6:$M$13,($Q$3-1-X53)*$Q$4+3+1,0*$Q$5+W53+1)-0)/$Q$19*$Q$13)</f>
        <v>#N/A</v>
      </c>
    </row>
  </sheetData>
  <mergeCells count="1">
    <mergeCell ref="B4:M4"/>
  </mergeCells>
  <printOptions horizontalCentered="1" verticalCentered="1"/>
  <pageMargins left="0.25" right="0.25" top="0.25" bottom="0.25" header="0.125" footer="0.125"/>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3F7E7-F313-45F1-855F-D320A2CE2FD3}">
  <sheetPr>
    <pageSetUpPr fitToPage="1"/>
  </sheetPr>
  <dimension ref="A1:BU64"/>
  <sheetViews>
    <sheetView showGridLines="0" workbookViewId="0"/>
  </sheetViews>
  <sheetFormatPr defaultRowHeight="14.5" x14ac:dyDescent="0.35"/>
  <cols>
    <col min="1" max="1" width="18.6328125" customWidth="1"/>
  </cols>
  <sheetData>
    <row r="1" spans="1:17" ht="17" x14ac:dyDescent="0.4">
      <c r="A1" s="2" t="s">
        <v>82</v>
      </c>
    </row>
    <row r="2" spans="1:17" x14ac:dyDescent="0.35">
      <c r="A2" s="3" t="s">
        <v>1</v>
      </c>
      <c r="P2" s="1" t="s">
        <v>36</v>
      </c>
    </row>
    <row r="3" spans="1:17" x14ac:dyDescent="0.35">
      <c r="P3" t="s">
        <v>37</v>
      </c>
      <c r="Q3">
        <v>4</v>
      </c>
    </row>
    <row r="4" spans="1:17" x14ac:dyDescent="0.35">
      <c r="B4" s="4" t="s">
        <v>83</v>
      </c>
      <c r="C4" s="4"/>
      <c r="D4" s="4"/>
      <c r="E4" s="4"/>
      <c r="F4" s="4"/>
      <c r="G4" s="4"/>
      <c r="H4" s="4"/>
      <c r="I4" s="4"/>
      <c r="J4" s="4"/>
      <c r="K4" s="4"/>
      <c r="L4" s="4"/>
      <c r="M4" s="4"/>
      <c r="P4" t="s">
        <v>38</v>
      </c>
      <c r="Q4">
        <v>3</v>
      </c>
    </row>
    <row r="5" spans="1:17" x14ac:dyDescent="0.35">
      <c r="A5" s="1" t="s">
        <v>2</v>
      </c>
      <c r="B5" s="1" t="s">
        <v>4</v>
      </c>
      <c r="C5" s="1" t="s">
        <v>5</v>
      </c>
      <c r="D5" s="1" t="s">
        <v>6</v>
      </c>
      <c r="E5" s="1" t="s">
        <v>7</v>
      </c>
      <c r="F5" s="1" t="s">
        <v>8</v>
      </c>
      <c r="G5" s="1" t="s">
        <v>9</v>
      </c>
      <c r="H5" s="1" t="s">
        <v>10</v>
      </c>
      <c r="I5" s="1" t="s">
        <v>11</v>
      </c>
      <c r="J5" s="1" t="s">
        <v>12</v>
      </c>
      <c r="K5" s="1" t="s">
        <v>13</v>
      </c>
      <c r="L5" s="1" t="s">
        <v>14</v>
      </c>
      <c r="M5" s="1" t="s">
        <v>15</v>
      </c>
      <c r="P5" t="s">
        <v>39</v>
      </c>
      <c r="Q5">
        <v>12</v>
      </c>
    </row>
    <row r="6" spans="1:17" x14ac:dyDescent="0.35">
      <c r="A6" t="s">
        <v>16</v>
      </c>
      <c r="B6" s="5">
        <v>-2.5</v>
      </c>
      <c r="C6" s="5">
        <v>12.5</v>
      </c>
      <c r="D6" s="5">
        <v>-5.5</v>
      </c>
      <c r="E6" s="5">
        <v>9.5</v>
      </c>
      <c r="F6" s="5">
        <v>-8.5</v>
      </c>
      <c r="G6" s="5">
        <v>6.5</v>
      </c>
      <c r="H6" s="5">
        <v>-11.5</v>
      </c>
      <c r="I6" s="5">
        <v>3.5</v>
      </c>
      <c r="J6" s="5">
        <v>-14.5</v>
      </c>
      <c r="K6" s="5">
        <v>0.5</v>
      </c>
      <c r="L6" s="5">
        <v>-17.5</v>
      </c>
      <c r="M6" s="5">
        <v>-2.5</v>
      </c>
      <c r="P6" t="s">
        <v>40</v>
      </c>
      <c r="Q6">
        <v>1</v>
      </c>
    </row>
    <row r="7" spans="1:17" x14ac:dyDescent="0.35">
      <c r="A7" t="s">
        <v>17</v>
      </c>
      <c r="B7" s="5">
        <v>24</v>
      </c>
      <c r="C7" s="5">
        <v>6</v>
      </c>
      <c r="D7" s="5">
        <v>21</v>
      </c>
      <c r="E7" s="5">
        <v>3</v>
      </c>
      <c r="F7" s="5">
        <v>18</v>
      </c>
      <c r="G7" s="5">
        <v>0</v>
      </c>
      <c r="H7" s="5">
        <v>15</v>
      </c>
      <c r="I7" s="5">
        <v>30</v>
      </c>
      <c r="J7" s="5">
        <v>12</v>
      </c>
      <c r="K7" s="5">
        <v>27</v>
      </c>
      <c r="L7" s="5">
        <v>9</v>
      </c>
      <c r="M7" s="5">
        <v>24</v>
      </c>
      <c r="P7" t="s">
        <v>41</v>
      </c>
      <c r="Q7">
        <v>3</v>
      </c>
    </row>
    <row r="8" spans="1:17" x14ac:dyDescent="0.35">
      <c r="A8" t="s">
        <v>18</v>
      </c>
      <c r="B8" s="5">
        <v>-15</v>
      </c>
      <c r="C8" s="5">
        <v>0</v>
      </c>
      <c r="D8" s="5">
        <v>15</v>
      </c>
      <c r="E8" s="5">
        <v>-3</v>
      </c>
      <c r="F8" s="5">
        <v>12</v>
      </c>
      <c r="G8" s="5">
        <v>-6</v>
      </c>
      <c r="H8" s="5">
        <v>9</v>
      </c>
      <c r="I8" s="5">
        <v>-9</v>
      </c>
      <c r="J8" s="5">
        <v>6</v>
      </c>
      <c r="K8" s="5">
        <v>-12</v>
      </c>
      <c r="L8" s="5">
        <v>3</v>
      </c>
      <c r="M8" s="5">
        <v>-15</v>
      </c>
      <c r="P8" t="s">
        <v>42</v>
      </c>
      <c r="Q8">
        <v>4</v>
      </c>
    </row>
    <row r="9" spans="1:17" x14ac:dyDescent="0.35">
      <c r="A9" t="s">
        <v>19</v>
      </c>
      <c r="B9" s="5">
        <v>-21</v>
      </c>
      <c r="C9" s="5">
        <v>-6</v>
      </c>
      <c r="D9" s="5">
        <v>-24</v>
      </c>
      <c r="E9" s="5">
        <v>-9</v>
      </c>
      <c r="F9" s="5">
        <v>-27</v>
      </c>
      <c r="G9" s="5">
        <v>-12</v>
      </c>
      <c r="H9" s="5">
        <v>-30</v>
      </c>
      <c r="I9" s="5">
        <v>-15</v>
      </c>
      <c r="J9" s="5">
        <v>0</v>
      </c>
      <c r="K9" s="5">
        <v>-18</v>
      </c>
      <c r="L9" s="5">
        <v>-3</v>
      </c>
      <c r="M9" s="5">
        <v>-21</v>
      </c>
      <c r="P9" t="s">
        <v>43</v>
      </c>
      <c r="Q9">
        <v>1</v>
      </c>
    </row>
    <row r="10" spans="1:17" x14ac:dyDescent="0.35">
      <c r="A10" t="s">
        <v>20</v>
      </c>
      <c r="B10" s="5">
        <v>5.5</v>
      </c>
      <c r="C10" s="5">
        <v>-12.5</v>
      </c>
      <c r="D10" s="5">
        <v>2.5</v>
      </c>
      <c r="E10" s="5">
        <v>17.5</v>
      </c>
      <c r="F10" s="5">
        <v>-0.5</v>
      </c>
      <c r="G10" s="5">
        <v>14.5</v>
      </c>
      <c r="H10" s="5">
        <v>-3.5</v>
      </c>
      <c r="I10" s="5">
        <v>11.5</v>
      </c>
      <c r="J10" s="5">
        <v>-6.5</v>
      </c>
      <c r="K10" s="5">
        <v>8.5</v>
      </c>
      <c r="L10" s="5">
        <v>-9.5</v>
      </c>
      <c r="M10" s="5">
        <v>5.5</v>
      </c>
      <c r="P10" t="s">
        <v>44</v>
      </c>
      <c r="Q10">
        <v>12</v>
      </c>
    </row>
    <row r="11" spans="1:17" x14ac:dyDescent="0.35">
      <c r="A11" t="s">
        <v>21</v>
      </c>
      <c r="B11" s="5">
        <v>-0.5</v>
      </c>
      <c r="C11" s="5">
        <v>-18.5</v>
      </c>
      <c r="D11" s="5">
        <v>-3.5</v>
      </c>
      <c r="E11" s="5">
        <v>-21.5</v>
      </c>
      <c r="F11" s="5">
        <v>-6.5</v>
      </c>
      <c r="G11" s="5">
        <v>-24.5</v>
      </c>
      <c r="H11" s="5">
        <v>-9.5</v>
      </c>
      <c r="I11" s="5">
        <v>-27.5</v>
      </c>
      <c r="J11" s="5">
        <v>-12.5</v>
      </c>
      <c r="K11" s="5">
        <v>2.5</v>
      </c>
      <c r="L11" s="5">
        <v>-15.5</v>
      </c>
      <c r="M11" s="5">
        <v>-0.5</v>
      </c>
      <c r="P11" t="s">
        <v>45</v>
      </c>
      <c r="Q11">
        <v>1</v>
      </c>
    </row>
    <row r="12" spans="1:17" x14ac:dyDescent="0.35">
      <c r="A12" t="s">
        <v>22</v>
      </c>
      <c r="B12" s="5">
        <v>-7</v>
      </c>
      <c r="C12" s="5">
        <v>8</v>
      </c>
      <c r="D12" s="5">
        <v>-10</v>
      </c>
      <c r="E12" s="5">
        <v>5</v>
      </c>
      <c r="F12" s="5">
        <v>20</v>
      </c>
      <c r="G12" s="5">
        <v>2</v>
      </c>
      <c r="H12" s="5">
        <v>17</v>
      </c>
      <c r="I12" s="5">
        <v>-1</v>
      </c>
      <c r="J12" s="5">
        <v>14</v>
      </c>
      <c r="K12" s="5">
        <v>-4</v>
      </c>
      <c r="L12" s="5">
        <v>11</v>
      </c>
      <c r="M12" s="5">
        <v>-7</v>
      </c>
      <c r="P12" t="s">
        <v>46</v>
      </c>
      <c r="Q12">
        <v>3</v>
      </c>
    </row>
    <row r="13" spans="1:17" x14ac:dyDescent="0.35">
      <c r="A13" t="s">
        <v>23</v>
      </c>
      <c r="B13" s="5">
        <v>-13</v>
      </c>
      <c r="C13" s="5">
        <v>2</v>
      </c>
      <c r="D13" s="5">
        <v>-16</v>
      </c>
      <c r="E13" s="5">
        <v>-1</v>
      </c>
      <c r="F13" s="5">
        <v>-19</v>
      </c>
      <c r="G13" s="5">
        <v>-4</v>
      </c>
      <c r="H13" s="5">
        <v>-22</v>
      </c>
      <c r="I13" s="5">
        <v>-7</v>
      </c>
      <c r="J13" s="5">
        <v>-25</v>
      </c>
      <c r="K13" s="5">
        <v>-10</v>
      </c>
      <c r="L13" s="5">
        <v>5</v>
      </c>
      <c r="M13" s="5">
        <v>-13</v>
      </c>
      <c r="P13" t="s">
        <v>47</v>
      </c>
      <c r="Q13">
        <v>0.82</v>
      </c>
    </row>
    <row r="14" spans="1:17" x14ac:dyDescent="0.35">
      <c r="A14" t="s">
        <v>24</v>
      </c>
      <c r="B14" s="5">
        <v>13.5</v>
      </c>
      <c r="C14" s="5">
        <v>-4.5</v>
      </c>
      <c r="D14" s="5">
        <v>10.5</v>
      </c>
      <c r="E14" s="5">
        <v>-7.5</v>
      </c>
      <c r="F14" s="5">
        <v>7.5</v>
      </c>
      <c r="G14" s="5">
        <v>22.5</v>
      </c>
      <c r="H14" s="5">
        <v>4.5</v>
      </c>
      <c r="I14" s="5">
        <v>19.5</v>
      </c>
      <c r="J14" s="5">
        <v>1.5</v>
      </c>
      <c r="K14" s="5">
        <v>16.5</v>
      </c>
      <c r="L14" s="5">
        <v>-1.5</v>
      </c>
      <c r="M14" s="5">
        <v>13.5</v>
      </c>
      <c r="P14" t="s">
        <v>48</v>
      </c>
      <c r="Q14" s="6">
        <f>MIN(0,MIN($B$6:$M$17))</f>
        <v>-30</v>
      </c>
    </row>
    <row r="15" spans="1:17" x14ac:dyDescent="0.35">
      <c r="A15" t="s">
        <v>25</v>
      </c>
      <c r="B15" s="5">
        <v>7.5</v>
      </c>
      <c r="C15" s="5">
        <v>-10.5</v>
      </c>
      <c r="D15" s="5">
        <v>4.5</v>
      </c>
      <c r="E15" s="5">
        <v>-13.5</v>
      </c>
      <c r="F15" s="5">
        <v>1.5</v>
      </c>
      <c r="G15" s="5">
        <v>-16.5</v>
      </c>
      <c r="H15" s="5">
        <v>-1.5</v>
      </c>
      <c r="I15" s="5">
        <v>-19.5</v>
      </c>
      <c r="J15" s="5">
        <v>-4.5</v>
      </c>
      <c r="K15" s="5">
        <v>-22.5</v>
      </c>
      <c r="L15" s="5">
        <v>-7.5</v>
      </c>
      <c r="M15" s="5">
        <v>7.5</v>
      </c>
      <c r="P15" t="s">
        <v>49</v>
      </c>
      <c r="Q15" s="6">
        <f>MAX($B$6:$M$17)</f>
        <v>30</v>
      </c>
    </row>
    <row r="16" spans="1:17" x14ac:dyDescent="0.35">
      <c r="A16" t="s">
        <v>26</v>
      </c>
      <c r="B16" s="5">
        <v>1</v>
      </c>
      <c r="C16" s="5">
        <v>16</v>
      </c>
      <c r="D16" s="5">
        <v>-2</v>
      </c>
      <c r="E16" s="5">
        <v>13</v>
      </c>
      <c r="F16" s="5">
        <v>-5</v>
      </c>
      <c r="G16" s="5">
        <v>10</v>
      </c>
      <c r="H16" s="5">
        <v>25</v>
      </c>
      <c r="I16" s="5">
        <v>7</v>
      </c>
      <c r="J16" s="5">
        <v>22</v>
      </c>
      <c r="K16" s="5">
        <v>4</v>
      </c>
      <c r="L16" s="5">
        <v>19</v>
      </c>
      <c r="M16" s="5">
        <v>1</v>
      </c>
      <c r="P16" t="s">
        <v>50</v>
      </c>
      <c r="Q16" s="6">
        <f>10^INT(LOG10(MAX(0.000000001,$Q$15-$Q$14)))/2</f>
        <v>5</v>
      </c>
    </row>
    <row r="17" spans="1:73" x14ac:dyDescent="0.35">
      <c r="A17" t="s">
        <v>27</v>
      </c>
      <c r="B17" s="5">
        <v>-5</v>
      </c>
      <c r="C17" s="5">
        <v>10</v>
      </c>
      <c r="D17" s="5">
        <v>-8</v>
      </c>
      <c r="E17" s="5">
        <v>7</v>
      </c>
      <c r="F17" s="5">
        <v>-11</v>
      </c>
      <c r="G17" s="5">
        <v>4</v>
      </c>
      <c r="H17" s="5">
        <v>-14</v>
      </c>
      <c r="I17" s="5">
        <v>1</v>
      </c>
      <c r="J17" s="5">
        <v>-17</v>
      </c>
      <c r="K17" s="5">
        <v>-2</v>
      </c>
      <c r="L17" s="5">
        <v>-20</v>
      </c>
      <c r="M17" s="5">
        <v>-5</v>
      </c>
      <c r="P17" t="s">
        <v>51</v>
      </c>
      <c r="Q17" s="6">
        <f>FLOOR($Q$14,$Q$16)</f>
        <v>-30</v>
      </c>
    </row>
    <row r="18" spans="1:73" x14ac:dyDescent="0.35">
      <c r="P18" t="s">
        <v>52</v>
      </c>
      <c r="Q18" s="6">
        <f>CEILING($Q$15,$Q$16)</f>
        <v>30</v>
      </c>
    </row>
    <row r="19" spans="1:73" x14ac:dyDescent="0.35">
      <c r="P19" t="s">
        <v>53</v>
      </c>
      <c r="Q19" s="6">
        <f>MAX(0.000000001,$Q$18-$Q$17)</f>
        <v>60</v>
      </c>
    </row>
    <row r="20" spans="1:73" x14ac:dyDescent="0.35">
      <c r="P20" t="s">
        <v>54</v>
      </c>
      <c r="Q20" s="6">
        <f>(0-$Q$17)/$Q$19*$Q$13</f>
        <v>0.41</v>
      </c>
    </row>
    <row r="23" spans="1:73" x14ac:dyDescent="0.35">
      <c r="P23" s="1" t="s">
        <v>55</v>
      </c>
      <c r="Q23" s="1" t="s">
        <v>56</v>
      </c>
      <c r="R23" s="1" t="s">
        <v>57</v>
      </c>
      <c r="S23" s="1" t="s">
        <v>58</v>
      </c>
      <c r="T23" s="1" t="s">
        <v>59</v>
      </c>
      <c r="U23" s="1" t="s">
        <v>60</v>
      </c>
      <c r="V23" s="1" t="s">
        <v>61</v>
      </c>
      <c r="W23" s="1" t="s">
        <v>62</v>
      </c>
      <c r="X23" s="1" t="s">
        <v>63</v>
      </c>
      <c r="Y23" s="1" t="s">
        <v>64</v>
      </c>
      <c r="Z23" s="1" t="s">
        <v>84</v>
      </c>
      <c r="AA23" s="1" t="s">
        <v>87</v>
      </c>
      <c r="AB23" s="1" t="s">
        <v>90</v>
      </c>
      <c r="AC23" s="1" t="s">
        <v>93</v>
      </c>
      <c r="AD23" s="1" t="s">
        <v>96</v>
      </c>
      <c r="AE23" s="1" t="s">
        <v>99</v>
      </c>
      <c r="AF23" s="1" t="s">
        <v>102</v>
      </c>
      <c r="AG23" s="1" t="s">
        <v>105</v>
      </c>
      <c r="AH23" s="1"/>
      <c r="AI23" s="1" t="s">
        <v>85</v>
      </c>
      <c r="AJ23" s="1" t="s">
        <v>88</v>
      </c>
      <c r="AK23" s="1" t="s">
        <v>91</v>
      </c>
      <c r="AL23" s="1" t="s">
        <v>94</v>
      </c>
      <c r="AM23" s="1" t="s">
        <v>97</v>
      </c>
      <c r="AN23" s="1" t="s">
        <v>100</v>
      </c>
      <c r="AO23" s="1" t="s">
        <v>103</v>
      </c>
      <c r="AP23" s="1" t="s">
        <v>106</v>
      </c>
      <c r="AQ23" s="1"/>
      <c r="AR23" s="1" t="s">
        <v>86</v>
      </c>
      <c r="AS23" s="1" t="s">
        <v>89</v>
      </c>
      <c r="AT23" s="1" t="s">
        <v>92</v>
      </c>
      <c r="AU23" s="1" t="s">
        <v>95</v>
      </c>
      <c r="AV23" s="1" t="s">
        <v>98</v>
      </c>
      <c r="AW23" s="1" t="s">
        <v>101</v>
      </c>
      <c r="AX23" s="1" t="s">
        <v>104</v>
      </c>
      <c r="AY23" s="1" t="s">
        <v>107</v>
      </c>
      <c r="AZ23" s="1"/>
      <c r="BA23" s="1" t="s">
        <v>70</v>
      </c>
      <c r="BB23" s="1"/>
      <c r="BC23" s="1"/>
      <c r="BD23" s="1" t="s">
        <v>71</v>
      </c>
      <c r="BE23" s="1"/>
      <c r="BF23" s="1"/>
      <c r="BG23" s="1" t="s">
        <v>72</v>
      </c>
      <c r="BH23" s="1"/>
      <c r="BI23" s="1"/>
      <c r="BJ23" s="1" t="s">
        <v>73</v>
      </c>
      <c r="BK23" s="1"/>
      <c r="BL23" s="1"/>
      <c r="BM23" s="1"/>
      <c r="BN23" s="1" t="s">
        <v>74</v>
      </c>
      <c r="BO23" s="1"/>
      <c r="BP23" s="1"/>
      <c r="BQ23" s="1"/>
      <c r="BR23" s="1"/>
      <c r="BS23" s="1"/>
      <c r="BT23" s="1"/>
      <c r="BU23" s="1"/>
    </row>
    <row r="24" spans="1:73" x14ac:dyDescent="0.35">
      <c r="P24">
        <v>1</v>
      </c>
      <c r="Q24">
        <f>P24-$Q$12</f>
        <v>-2</v>
      </c>
      <c r="R24">
        <f>IF(Q24&lt;=0,-1,INT((Q24-1)/($Q$10+$Q$11)))</f>
        <v>-1</v>
      </c>
      <c r="S24">
        <f>IF(Q24&lt;=0,-1,MOD(Q24-1,($Q$10+$Q$11)))</f>
        <v>-1</v>
      </c>
      <c r="T24">
        <f>IF(OR(S24&lt;0,S24&gt;=$Q$10),-1,INT(S24/$Q$9))</f>
        <v>-1</v>
      </c>
      <c r="U24">
        <f>IF(OR(S24&lt;0,S24&gt;=$Q$10),-1,MOD(S24,$Q$9))</f>
        <v>-1</v>
      </c>
      <c r="V24">
        <f>IF(OR(Q24&lt;=0,S24&lt;0,S24&gt;=$Q$10,R24&gt;=$Q$7),1,0)</f>
        <v>1</v>
      </c>
      <c r="W24">
        <f>IF(V24=1,-1,T24)</f>
        <v>-1</v>
      </c>
      <c r="X24">
        <f>IF(V24=1,-1,R24)</f>
        <v>-1</v>
      </c>
      <c r="Y24" t="str">
        <f>IF(V24=1,"",IF(AND(MOD(W24,3)=0,U24=INT(($Q$9-1)/2)),INDEX($B$5:$M$5,W24+1),""))</f>
        <v/>
      </c>
      <c r="Z24" t="e">
        <f>IF(V24=1,NA(),IF(INDEX($B$6:$M$17,($Q$3-1-0)*$Q$4+X24+1,0*$Q$5+W24+1)="",NA(),IF(INDEX($B$6:$M$17,($Q$3-1-0)*$Q$4+X24+1,0*$Q$5+W24+1)&gt;=0,0+(INDEX($B$6:$M$17,($Q$3-1-0)*$Q$4+X24+1,0*$Q$5+W24+1)-$Q$17)/$Q$19*$Q$13,NA())))</f>
        <v>#N/A</v>
      </c>
      <c r="AA24" t="e">
        <f>IF(V24=1,NA(),IF(INDEX($B$6:$M$17,($Q$3-1-0)*$Q$4+X24+1,0*$Q$5+W24+1)="",NA(),IF(INDEX($B$6:$M$17,($Q$3-1-0)*$Q$4+X24+1,0*$Q$5+W24+1)&lt;0,0+(INDEX($B$6:$M$17,($Q$3-1-0)*$Q$4+X24+1,0*$Q$5+W24+1)-$Q$17)/$Q$19*$Q$13,NA())))</f>
        <v>#N/A</v>
      </c>
      <c r="AB24" t="e">
        <f>IF(V24=1,NA(),IF(INDEX($B$6:$M$17,($Q$3-1-1)*$Q$4+X24+1,0*$Q$5+W24+1)="",NA(),IF(INDEX($B$6:$M$17,($Q$3-1-1)*$Q$4+X24+1,0*$Q$5+W24+1)&gt;=0,1+(INDEX($B$6:$M$17,($Q$3-1-1)*$Q$4+X24+1,0*$Q$5+W24+1)-$Q$17)/$Q$19*$Q$13,NA())))</f>
        <v>#N/A</v>
      </c>
      <c r="AC24" t="e">
        <f>IF(V24=1,NA(),IF(INDEX($B$6:$M$17,($Q$3-1-1)*$Q$4+X24+1,0*$Q$5+W24+1)="",NA(),IF(INDEX($B$6:$M$17,($Q$3-1-1)*$Q$4+X24+1,0*$Q$5+W24+1)&lt;0,1+(INDEX($B$6:$M$17,($Q$3-1-1)*$Q$4+X24+1,0*$Q$5+W24+1)-$Q$17)/$Q$19*$Q$13,NA())))</f>
        <v>#N/A</v>
      </c>
      <c r="AD24" t="e">
        <f>IF(V24=1,NA(),IF(INDEX($B$6:$M$17,($Q$3-1-2)*$Q$4+X24+1,0*$Q$5+W24+1)="",NA(),IF(INDEX($B$6:$M$17,($Q$3-1-2)*$Q$4+X24+1,0*$Q$5+W24+1)&gt;=0,2+(INDEX($B$6:$M$17,($Q$3-1-2)*$Q$4+X24+1,0*$Q$5+W24+1)-$Q$17)/$Q$19*$Q$13,NA())))</f>
        <v>#N/A</v>
      </c>
      <c r="AE24" t="e">
        <f>IF(V24=1,NA(),IF(INDEX($B$6:$M$17,($Q$3-1-2)*$Q$4+X24+1,0*$Q$5+W24+1)="",NA(),IF(INDEX($B$6:$M$17,($Q$3-1-2)*$Q$4+X24+1,0*$Q$5+W24+1)&lt;0,2+(INDEX($B$6:$M$17,($Q$3-1-2)*$Q$4+X24+1,0*$Q$5+W24+1)-$Q$17)/$Q$19*$Q$13,NA())))</f>
        <v>#N/A</v>
      </c>
      <c r="AF24" t="e">
        <f>IF(V24=1,NA(),IF(INDEX($B$6:$M$17,($Q$3-1-3)*$Q$4+X24+1,0*$Q$5+W24+1)="",NA(),IF(INDEX($B$6:$M$17,($Q$3-1-3)*$Q$4+X24+1,0*$Q$5+W24+1)&gt;=0,3+(INDEX($B$6:$M$17,($Q$3-1-3)*$Q$4+X24+1,0*$Q$5+W24+1)-$Q$17)/$Q$19*$Q$13,NA())))</f>
        <v>#N/A</v>
      </c>
      <c r="AG24" t="e">
        <f>IF(V24=1,NA(),IF(INDEX($B$6:$M$17,($Q$3-1-3)*$Q$4+X24+1,0*$Q$5+W24+1)="",NA(),IF(INDEX($B$6:$M$17,($Q$3-1-3)*$Q$4+X24+1,0*$Q$5+W24+1)&lt;0,3+(INDEX($B$6:$M$17,($Q$3-1-3)*$Q$4+X24+1,0*$Q$5+W24+1)-$Q$17)/$Q$19*$Q$13,NA())))</f>
        <v>#N/A</v>
      </c>
      <c r="AI24">
        <f>IF(V24=1,0,IF(INDEX($B$6:$M$17,($Q$3-1-0)*$Q$4+X24+1,0*$Q$5+W24+1)="",0,IF(INDEX($B$6:$M$17,($Q$3-1-0)*$Q$4+X24+1,0*$Q$5+W24+1)&gt;=0,ABS(INDEX($B$6:$M$17,($Q$3-1-0)*$Q$4+X24+1,0*$Q$5+W24+1))/$Q$19*$Q$13,0)))</f>
        <v>0</v>
      </c>
      <c r="AJ24">
        <f>IF(V24=1,0,IF(INDEX($B$6:$M$17,($Q$3-1-0)*$Q$4+X24+1,0*$Q$5+W24+1)="",0,IF(INDEX($B$6:$M$17,($Q$3-1-0)*$Q$4+X24+1,0*$Q$5+W24+1)&lt;0,ABS(INDEX($B$6:$M$17,($Q$3-1-0)*$Q$4+X24+1,0*$Q$5+W24+1))/$Q$19*$Q$13,0)))</f>
        <v>0</v>
      </c>
      <c r="AK24">
        <f>IF(V24=1,0,IF(INDEX($B$6:$M$17,($Q$3-1-1)*$Q$4+X24+1,0*$Q$5+W24+1)="",0,IF(INDEX($B$6:$M$17,($Q$3-1-1)*$Q$4+X24+1,0*$Q$5+W24+1)&gt;=0,ABS(INDEX($B$6:$M$17,($Q$3-1-1)*$Q$4+X24+1,0*$Q$5+W24+1))/$Q$19*$Q$13,0)))</f>
        <v>0</v>
      </c>
      <c r="AL24">
        <f>IF(V24=1,0,IF(INDEX($B$6:$M$17,($Q$3-1-1)*$Q$4+X24+1,0*$Q$5+W24+1)="",0,IF(INDEX($B$6:$M$17,($Q$3-1-1)*$Q$4+X24+1,0*$Q$5+W24+1)&lt;0,ABS(INDEX($B$6:$M$17,($Q$3-1-1)*$Q$4+X24+1,0*$Q$5+W24+1))/$Q$19*$Q$13,0)))</f>
        <v>0</v>
      </c>
      <c r="AM24">
        <f>IF(V24=1,0,IF(INDEX($B$6:$M$17,($Q$3-1-2)*$Q$4+X24+1,0*$Q$5+W24+1)="",0,IF(INDEX($B$6:$M$17,($Q$3-1-2)*$Q$4+X24+1,0*$Q$5+W24+1)&gt;=0,ABS(INDEX($B$6:$M$17,($Q$3-1-2)*$Q$4+X24+1,0*$Q$5+W24+1))/$Q$19*$Q$13,0)))</f>
        <v>0</v>
      </c>
      <c r="AN24">
        <f>IF(V24=1,0,IF(INDEX($B$6:$M$17,($Q$3-1-2)*$Q$4+X24+1,0*$Q$5+W24+1)="",0,IF(INDEX($B$6:$M$17,($Q$3-1-2)*$Q$4+X24+1,0*$Q$5+W24+1)&lt;0,ABS(INDEX($B$6:$M$17,($Q$3-1-2)*$Q$4+X24+1,0*$Q$5+W24+1))/$Q$19*$Q$13,0)))</f>
        <v>0</v>
      </c>
      <c r="AO24">
        <f>IF(V24=1,0,IF(INDEX($B$6:$M$17,($Q$3-1-3)*$Q$4+X24+1,0*$Q$5+W24+1)="",0,IF(INDEX($B$6:$M$17,($Q$3-1-3)*$Q$4+X24+1,0*$Q$5+W24+1)&gt;=0,ABS(INDEX($B$6:$M$17,($Q$3-1-3)*$Q$4+X24+1,0*$Q$5+W24+1))/$Q$19*$Q$13,0)))</f>
        <v>0</v>
      </c>
      <c r="AP24">
        <f>IF(V24=1,0,IF(INDEX($B$6:$M$17,($Q$3-1-3)*$Q$4+X24+1,0*$Q$5+W24+1)="",0,IF(INDEX($B$6:$M$17,($Q$3-1-3)*$Q$4+X24+1,0*$Q$5+W24+1)&lt;0,ABS(INDEX($B$6:$M$17,($Q$3-1-3)*$Q$4+X24+1,0*$Q$5+W24+1))/$Q$19*$Q$13,0)))</f>
        <v>0</v>
      </c>
      <c r="AR24" t="str">
        <f>IF(V24=1,"",IF(INDEX($B$6:$M$17,($Q$3-1-0)*$Q$4+X24+1,0*$Q$5+W24+1)="","",IF(INDEX($B$6:$M$17,($Q$3-1-0)*$Q$4+X24+1,0*$Q$5+W24+1)&gt;=0,TEXT(INDEX($B$6:$M$17,($Q$3-1-0)*$Q$4+X24+1,0*$Q$5+W24+1),"+0;-0;0"),"")))</f>
        <v/>
      </c>
      <c r="AS24" t="str">
        <f>IF(V24=1,"",IF(INDEX($B$6:$M$17,($Q$3-1-0)*$Q$4+X24+1,0*$Q$5+W24+1)="","",IF(INDEX($B$6:$M$17,($Q$3-1-0)*$Q$4+X24+1,0*$Q$5+W24+1)&lt;0,TEXT(INDEX($B$6:$M$17,($Q$3-1-0)*$Q$4+X24+1,0*$Q$5+W24+1),"+0;-0;0"),"")))</f>
        <v/>
      </c>
      <c r="AT24" t="str">
        <f>IF(V24=1,"",IF(INDEX($B$6:$M$17,($Q$3-1-1)*$Q$4+X24+1,0*$Q$5+W24+1)="","",IF(INDEX($B$6:$M$17,($Q$3-1-1)*$Q$4+X24+1,0*$Q$5+W24+1)&gt;=0,TEXT(INDEX($B$6:$M$17,($Q$3-1-1)*$Q$4+X24+1,0*$Q$5+W24+1),"+0;-0;0"),"")))</f>
        <v/>
      </c>
      <c r="AU24" t="str">
        <f>IF(V24=1,"",IF(INDEX($B$6:$M$17,($Q$3-1-1)*$Q$4+X24+1,0*$Q$5+W24+1)="","",IF(INDEX($B$6:$M$17,($Q$3-1-1)*$Q$4+X24+1,0*$Q$5+W24+1)&lt;0,TEXT(INDEX($B$6:$M$17,($Q$3-1-1)*$Q$4+X24+1,0*$Q$5+W24+1),"+0;-0;0"),"")))</f>
        <v/>
      </c>
      <c r="AV24" t="str">
        <f>IF(V24=1,"",IF(INDEX($B$6:$M$17,($Q$3-1-2)*$Q$4+X24+1,0*$Q$5+W24+1)="","",IF(INDEX($B$6:$M$17,($Q$3-1-2)*$Q$4+X24+1,0*$Q$5+W24+1)&gt;=0,TEXT(INDEX($B$6:$M$17,($Q$3-1-2)*$Q$4+X24+1,0*$Q$5+W24+1),"+0;-0;0"),"")))</f>
        <v/>
      </c>
      <c r="AW24" t="str">
        <f>IF(V24=1,"",IF(INDEX($B$6:$M$17,($Q$3-1-2)*$Q$4+X24+1,0*$Q$5+W24+1)="","",IF(INDEX($B$6:$M$17,($Q$3-1-2)*$Q$4+X24+1,0*$Q$5+W24+1)&lt;0,TEXT(INDEX($B$6:$M$17,($Q$3-1-2)*$Q$4+X24+1,0*$Q$5+W24+1),"+0;-0;0"),"")))</f>
        <v/>
      </c>
      <c r="AX24" t="str">
        <f>IF(V24=1,"",IF(INDEX($B$6:$M$17,($Q$3-1-3)*$Q$4+X24+1,0*$Q$5+W24+1)="","",IF(INDEX($B$6:$M$17,($Q$3-1-3)*$Q$4+X24+1,0*$Q$5+W24+1)&gt;=0,TEXT(INDEX($B$6:$M$17,($Q$3-1-3)*$Q$4+X24+1,0*$Q$5+W24+1),"+0;-0;0"),"")))</f>
        <v/>
      </c>
      <c r="AY24" t="str">
        <f>IF(V24=1,"",IF(INDEX($B$6:$M$17,($Q$3-1-3)*$Q$4+X24+1,0*$Q$5+W24+1)="","",IF(INDEX($B$6:$M$17,($Q$3-1-3)*$Q$4+X24+1,0*$Q$5+W24+1)&lt;0,TEXT(INDEX($B$6:$M$17,($Q$3-1-3)*$Q$4+X24+1,0*$Q$5+W24+1),"+0;-0;0"),"")))</f>
        <v/>
      </c>
      <c r="BA24">
        <v>16</v>
      </c>
      <c r="BB24">
        <v>0</v>
      </c>
      <c r="BD24">
        <v>0.5</v>
      </c>
      <c r="BE24">
        <v>0.90999999999999992</v>
      </c>
      <c r="BG24">
        <v>3.5</v>
      </c>
      <c r="BH24">
        <f>IF(OR($Q$17&gt;0,$Q$18&lt;0),NA(),0+$Q$20)</f>
        <v>0.41</v>
      </c>
      <c r="BJ24">
        <v>4</v>
      </c>
      <c r="BK24">
        <f>3+$Q$13+0.03</f>
        <v>3.8499999999999996</v>
      </c>
      <c r="BL24" t="str">
        <f>Pin!$A$6</f>
        <v>Business partner 01</v>
      </c>
      <c r="BN24">
        <v>3.35</v>
      </c>
      <c r="BO24">
        <f>0+0*$Q$13</f>
        <v>0</v>
      </c>
      <c r="BP24" t="str">
        <f>TEXT($Q$17+($Q$18-$Q$17)*0,"#,##0")</f>
        <v>-30</v>
      </c>
    </row>
    <row r="25" spans="1:73" x14ac:dyDescent="0.35">
      <c r="P25">
        <v>2</v>
      </c>
      <c r="Q25">
        <f>P25-$Q$12</f>
        <v>-1</v>
      </c>
      <c r="R25">
        <f>IF(Q25&lt;=0,-1,INT((Q25-1)/($Q$10+$Q$11)))</f>
        <v>-1</v>
      </c>
      <c r="S25">
        <f>IF(Q25&lt;=0,-1,MOD(Q25-1,($Q$10+$Q$11)))</f>
        <v>-1</v>
      </c>
      <c r="T25">
        <f>IF(OR(S25&lt;0,S25&gt;=$Q$10),-1,INT(S25/$Q$9))</f>
        <v>-1</v>
      </c>
      <c r="U25">
        <f>IF(OR(S25&lt;0,S25&gt;=$Q$10),-1,MOD(S25,$Q$9))</f>
        <v>-1</v>
      </c>
      <c r="V25">
        <f>IF(OR(Q25&lt;=0,S25&lt;0,S25&gt;=$Q$10,R25&gt;=$Q$7),1,0)</f>
        <v>1</v>
      </c>
      <c r="W25">
        <f>IF(V25=1,-1,T25)</f>
        <v>-1</v>
      </c>
      <c r="X25">
        <f>IF(V25=1,-1,R25)</f>
        <v>-1</v>
      </c>
      <c r="Y25" t="str">
        <f>IF(V25=1,"",IF(AND(MOD(W25,3)=0,U25=INT(($Q$9-1)/2)),INDEX($B$5:$M$5,W25+1),""))</f>
        <v/>
      </c>
      <c r="Z25" t="e">
        <f>IF(V25=1,NA(),IF(INDEX($B$6:$M$17,($Q$3-1-0)*$Q$4+X25+1,0*$Q$5+W25+1)="",NA(),IF(INDEX($B$6:$M$17,($Q$3-1-0)*$Q$4+X25+1,0*$Q$5+W25+1)&gt;=0,0+(INDEX($B$6:$M$17,($Q$3-1-0)*$Q$4+X25+1,0*$Q$5+W25+1)-$Q$17)/$Q$19*$Q$13,NA())))</f>
        <v>#N/A</v>
      </c>
      <c r="AA25" t="e">
        <f>IF(V25=1,NA(),IF(INDEX($B$6:$M$17,($Q$3-1-0)*$Q$4+X25+1,0*$Q$5+W25+1)="",NA(),IF(INDEX($B$6:$M$17,($Q$3-1-0)*$Q$4+X25+1,0*$Q$5+W25+1)&lt;0,0+(INDEX($B$6:$M$17,($Q$3-1-0)*$Q$4+X25+1,0*$Q$5+W25+1)-$Q$17)/$Q$19*$Q$13,NA())))</f>
        <v>#N/A</v>
      </c>
      <c r="AB25" t="e">
        <f>IF(V25=1,NA(),IF(INDEX($B$6:$M$17,($Q$3-1-1)*$Q$4+X25+1,0*$Q$5+W25+1)="",NA(),IF(INDEX($B$6:$M$17,($Q$3-1-1)*$Q$4+X25+1,0*$Q$5+W25+1)&gt;=0,1+(INDEX($B$6:$M$17,($Q$3-1-1)*$Q$4+X25+1,0*$Q$5+W25+1)-$Q$17)/$Q$19*$Q$13,NA())))</f>
        <v>#N/A</v>
      </c>
      <c r="AC25" t="e">
        <f>IF(V25=1,NA(),IF(INDEX($B$6:$M$17,($Q$3-1-1)*$Q$4+X25+1,0*$Q$5+W25+1)="",NA(),IF(INDEX($B$6:$M$17,($Q$3-1-1)*$Q$4+X25+1,0*$Q$5+W25+1)&lt;0,1+(INDEX($B$6:$M$17,($Q$3-1-1)*$Q$4+X25+1,0*$Q$5+W25+1)-$Q$17)/$Q$19*$Q$13,NA())))</f>
        <v>#N/A</v>
      </c>
      <c r="AD25" t="e">
        <f>IF(V25=1,NA(),IF(INDEX($B$6:$M$17,($Q$3-1-2)*$Q$4+X25+1,0*$Q$5+W25+1)="",NA(),IF(INDEX($B$6:$M$17,($Q$3-1-2)*$Q$4+X25+1,0*$Q$5+W25+1)&gt;=0,2+(INDEX($B$6:$M$17,($Q$3-1-2)*$Q$4+X25+1,0*$Q$5+W25+1)-$Q$17)/$Q$19*$Q$13,NA())))</f>
        <v>#N/A</v>
      </c>
      <c r="AE25" t="e">
        <f>IF(V25=1,NA(),IF(INDEX($B$6:$M$17,($Q$3-1-2)*$Q$4+X25+1,0*$Q$5+W25+1)="",NA(),IF(INDEX($B$6:$M$17,($Q$3-1-2)*$Q$4+X25+1,0*$Q$5+W25+1)&lt;0,2+(INDEX($B$6:$M$17,($Q$3-1-2)*$Q$4+X25+1,0*$Q$5+W25+1)-$Q$17)/$Q$19*$Q$13,NA())))</f>
        <v>#N/A</v>
      </c>
      <c r="AF25" t="e">
        <f>IF(V25=1,NA(),IF(INDEX($B$6:$M$17,($Q$3-1-3)*$Q$4+X25+1,0*$Q$5+W25+1)="",NA(),IF(INDEX($B$6:$M$17,($Q$3-1-3)*$Q$4+X25+1,0*$Q$5+W25+1)&gt;=0,3+(INDEX($B$6:$M$17,($Q$3-1-3)*$Q$4+X25+1,0*$Q$5+W25+1)-$Q$17)/$Q$19*$Q$13,NA())))</f>
        <v>#N/A</v>
      </c>
      <c r="AG25" t="e">
        <f>IF(V25=1,NA(),IF(INDEX($B$6:$M$17,($Q$3-1-3)*$Q$4+X25+1,0*$Q$5+W25+1)="",NA(),IF(INDEX($B$6:$M$17,($Q$3-1-3)*$Q$4+X25+1,0*$Q$5+W25+1)&lt;0,3+(INDEX($B$6:$M$17,($Q$3-1-3)*$Q$4+X25+1,0*$Q$5+W25+1)-$Q$17)/$Q$19*$Q$13,NA())))</f>
        <v>#N/A</v>
      </c>
      <c r="AI25">
        <f>IF(V25=1,0,IF(INDEX($B$6:$M$17,($Q$3-1-0)*$Q$4+X25+1,0*$Q$5+W25+1)="",0,IF(INDEX($B$6:$M$17,($Q$3-1-0)*$Q$4+X25+1,0*$Q$5+W25+1)&gt;=0,ABS(INDEX($B$6:$M$17,($Q$3-1-0)*$Q$4+X25+1,0*$Q$5+W25+1))/$Q$19*$Q$13,0)))</f>
        <v>0</v>
      </c>
      <c r="AJ25">
        <f>IF(V25=1,0,IF(INDEX($B$6:$M$17,($Q$3-1-0)*$Q$4+X25+1,0*$Q$5+W25+1)="",0,IF(INDEX($B$6:$M$17,($Q$3-1-0)*$Q$4+X25+1,0*$Q$5+W25+1)&lt;0,ABS(INDEX($B$6:$M$17,($Q$3-1-0)*$Q$4+X25+1,0*$Q$5+W25+1))/$Q$19*$Q$13,0)))</f>
        <v>0</v>
      </c>
      <c r="AK25">
        <f>IF(V25=1,0,IF(INDEX($B$6:$M$17,($Q$3-1-1)*$Q$4+X25+1,0*$Q$5+W25+1)="",0,IF(INDEX($B$6:$M$17,($Q$3-1-1)*$Q$4+X25+1,0*$Q$5+W25+1)&gt;=0,ABS(INDEX($B$6:$M$17,($Q$3-1-1)*$Q$4+X25+1,0*$Q$5+W25+1))/$Q$19*$Q$13,0)))</f>
        <v>0</v>
      </c>
      <c r="AL25">
        <f>IF(V25=1,0,IF(INDEX($B$6:$M$17,($Q$3-1-1)*$Q$4+X25+1,0*$Q$5+W25+1)="",0,IF(INDEX($B$6:$M$17,($Q$3-1-1)*$Q$4+X25+1,0*$Q$5+W25+1)&lt;0,ABS(INDEX($B$6:$M$17,($Q$3-1-1)*$Q$4+X25+1,0*$Q$5+W25+1))/$Q$19*$Q$13,0)))</f>
        <v>0</v>
      </c>
      <c r="AM25">
        <f>IF(V25=1,0,IF(INDEX($B$6:$M$17,($Q$3-1-2)*$Q$4+X25+1,0*$Q$5+W25+1)="",0,IF(INDEX($B$6:$M$17,($Q$3-1-2)*$Q$4+X25+1,0*$Q$5+W25+1)&gt;=0,ABS(INDEX($B$6:$M$17,($Q$3-1-2)*$Q$4+X25+1,0*$Q$5+W25+1))/$Q$19*$Q$13,0)))</f>
        <v>0</v>
      </c>
      <c r="AN25">
        <f>IF(V25=1,0,IF(INDEX($B$6:$M$17,($Q$3-1-2)*$Q$4+X25+1,0*$Q$5+W25+1)="",0,IF(INDEX($B$6:$M$17,($Q$3-1-2)*$Q$4+X25+1,0*$Q$5+W25+1)&lt;0,ABS(INDEX($B$6:$M$17,($Q$3-1-2)*$Q$4+X25+1,0*$Q$5+W25+1))/$Q$19*$Q$13,0)))</f>
        <v>0</v>
      </c>
      <c r="AO25">
        <f>IF(V25=1,0,IF(INDEX($B$6:$M$17,($Q$3-1-3)*$Q$4+X25+1,0*$Q$5+W25+1)="",0,IF(INDEX($B$6:$M$17,($Q$3-1-3)*$Q$4+X25+1,0*$Q$5+W25+1)&gt;=0,ABS(INDEX($B$6:$M$17,($Q$3-1-3)*$Q$4+X25+1,0*$Q$5+W25+1))/$Q$19*$Q$13,0)))</f>
        <v>0</v>
      </c>
      <c r="AP25">
        <f>IF(V25=1,0,IF(INDEX($B$6:$M$17,($Q$3-1-3)*$Q$4+X25+1,0*$Q$5+W25+1)="",0,IF(INDEX($B$6:$M$17,($Q$3-1-3)*$Q$4+X25+1,0*$Q$5+W25+1)&lt;0,ABS(INDEX($B$6:$M$17,($Q$3-1-3)*$Q$4+X25+1,0*$Q$5+W25+1))/$Q$19*$Q$13,0)))</f>
        <v>0</v>
      </c>
      <c r="AR25" t="str">
        <f>IF(V25=1,"",IF(INDEX($B$6:$M$17,($Q$3-1-0)*$Q$4+X25+1,0*$Q$5+W25+1)="","",IF(INDEX($B$6:$M$17,($Q$3-1-0)*$Q$4+X25+1,0*$Q$5+W25+1)&gt;=0,TEXT(INDEX($B$6:$M$17,($Q$3-1-0)*$Q$4+X25+1,0*$Q$5+W25+1),"+0;-0;0"),"")))</f>
        <v/>
      </c>
      <c r="AS25" t="str">
        <f>IF(V25=1,"",IF(INDEX($B$6:$M$17,($Q$3-1-0)*$Q$4+X25+1,0*$Q$5+W25+1)="","",IF(INDEX($B$6:$M$17,($Q$3-1-0)*$Q$4+X25+1,0*$Q$5+W25+1)&lt;0,TEXT(INDEX($B$6:$M$17,($Q$3-1-0)*$Q$4+X25+1,0*$Q$5+W25+1),"+0;-0;0"),"")))</f>
        <v/>
      </c>
      <c r="AT25" t="str">
        <f>IF(V25=1,"",IF(INDEX($B$6:$M$17,($Q$3-1-1)*$Q$4+X25+1,0*$Q$5+W25+1)="","",IF(INDEX($B$6:$M$17,($Q$3-1-1)*$Q$4+X25+1,0*$Q$5+W25+1)&gt;=0,TEXT(INDEX($B$6:$M$17,($Q$3-1-1)*$Q$4+X25+1,0*$Q$5+W25+1),"+0;-0;0"),"")))</f>
        <v/>
      </c>
      <c r="AU25" t="str">
        <f>IF(V25=1,"",IF(INDEX($B$6:$M$17,($Q$3-1-1)*$Q$4+X25+1,0*$Q$5+W25+1)="","",IF(INDEX($B$6:$M$17,($Q$3-1-1)*$Q$4+X25+1,0*$Q$5+W25+1)&lt;0,TEXT(INDEX($B$6:$M$17,($Q$3-1-1)*$Q$4+X25+1,0*$Q$5+W25+1),"+0;-0;0"),"")))</f>
        <v/>
      </c>
      <c r="AV25" t="str">
        <f>IF(V25=1,"",IF(INDEX($B$6:$M$17,($Q$3-1-2)*$Q$4+X25+1,0*$Q$5+W25+1)="","",IF(INDEX($B$6:$M$17,($Q$3-1-2)*$Q$4+X25+1,0*$Q$5+W25+1)&gt;=0,TEXT(INDEX($B$6:$M$17,($Q$3-1-2)*$Q$4+X25+1,0*$Q$5+W25+1),"+0;-0;0"),"")))</f>
        <v/>
      </c>
      <c r="AW25" t="str">
        <f>IF(V25=1,"",IF(INDEX($B$6:$M$17,($Q$3-1-2)*$Q$4+X25+1,0*$Q$5+W25+1)="","",IF(INDEX($B$6:$M$17,($Q$3-1-2)*$Q$4+X25+1,0*$Q$5+W25+1)&lt;0,TEXT(INDEX($B$6:$M$17,($Q$3-1-2)*$Q$4+X25+1,0*$Q$5+W25+1),"+0;-0;0"),"")))</f>
        <v/>
      </c>
      <c r="AX25" t="str">
        <f>IF(V25=1,"",IF(INDEX($B$6:$M$17,($Q$3-1-3)*$Q$4+X25+1,0*$Q$5+W25+1)="","",IF(INDEX($B$6:$M$17,($Q$3-1-3)*$Q$4+X25+1,0*$Q$5+W25+1)&gt;=0,TEXT(INDEX($B$6:$M$17,($Q$3-1-3)*$Q$4+X25+1,0*$Q$5+W25+1),"+0;-0;0"),"")))</f>
        <v/>
      </c>
      <c r="AY25" t="str">
        <f>IF(V25=1,"",IF(INDEX($B$6:$M$17,($Q$3-1-3)*$Q$4+X25+1,0*$Q$5+W25+1)="","",IF(INDEX($B$6:$M$17,($Q$3-1-3)*$Q$4+X25+1,0*$Q$5+W25+1)&lt;0,TEXT(INDEX($B$6:$M$17,($Q$3-1-3)*$Q$4+X25+1,0*$Q$5+W25+1),"+0;-0;0"),"")))</f>
        <v/>
      </c>
      <c r="BA25">
        <v>16</v>
      </c>
      <c r="BB25">
        <v>4</v>
      </c>
      <c r="BD25">
        <v>41.5</v>
      </c>
      <c r="BE25">
        <v>0.90999999999999992</v>
      </c>
      <c r="BG25">
        <v>15.5</v>
      </c>
      <c r="BH25">
        <f>IF(OR($Q$17&gt;0,$Q$18&lt;0),NA(),0+$Q$20)</f>
        <v>0.41</v>
      </c>
      <c r="BJ25">
        <v>17</v>
      </c>
      <c r="BK25">
        <f>3+$Q$13+0.03</f>
        <v>3.8499999999999996</v>
      </c>
      <c r="BL25" t="str">
        <f>Pin!$A$7</f>
        <v>Business partner 02</v>
      </c>
      <c r="BN25">
        <v>3.35</v>
      </c>
      <c r="BO25">
        <f>0+0.5*$Q$13</f>
        <v>0.41</v>
      </c>
      <c r="BP25" t="str">
        <f>TEXT($Q$17+($Q$18-$Q$17)*0.5,"#,##0")</f>
        <v>0</v>
      </c>
    </row>
    <row r="26" spans="1:73" x14ac:dyDescent="0.35">
      <c r="P26">
        <v>3</v>
      </c>
      <c r="Q26">
        <f>P26-$Q$12</f>
        <v>0</v>
      </c>
      <c r="R26">
        <f>IF(Q26&lt;=0,-1,INT((Q26-1)/($Q$10+$Q$11)))</f>
        <v>-1</v>
      </c>
      <c r="S26">
        <f>IF(Q26&lt;=0,-1,MOD(Q26-1,($Q$10+$Q$11)))</f>
        <v>-1</v>
      </c>
      <c r="T26">
        <f>IF(OR(S26&lt;0,S26&gt;=$Q$10),-1,INT(S26/$Q$9))</f>
        <v>-1</v>
      </c>
      <c r="U26">
        <f>IF(OR(S26&lt;0,S26&gt;=$Q$10),-1,MOD(S26,$Q$9))</f>
        <v>-1</v>
      </c>
      <c r="V26">
        <f>IF(OR(Q26&lt;=0,S26&lt;0,S26&gt;=$Q$10,R26&gt;=$Q$7),1,0)</f>
        <v>1</v>
      </c>
      <c r="W26">
        <f>IF(V26=1,-1,T26)</f>
        <v>-1</v>
      </c>
      <c r="X26">
        <f>IF(V26=1,-1,R26)</f>
        <v>-1</v>
      </c>
      <c r="Y26" t="str">
        <f>IF(V26=1,"",IF(AND(MOD(W26,3)=0,U26=INT(($Q$9-1)/2)),INDEX($B$5:$M$5,W26+1),""))</f>
        <v/>
      </c>
      <c r="Z26" t="e">
        <f>IF(V26=1,NA(),IF(INDEX($B$6:$M$17,($Q$3-1-0)*$Q$4+X26+1,0*$Q$5+W26+1)="",NA(),IF(INDEX($B$6:$M$17,($Q$3-1-0)*$Q$4+X26+1,0*$Q$5+W26+1)&gt;=0,0+(INDEX($B$6:$M$17,($Q$3-1-0)*$Q$4+X26+1,0*$Q$5+W26+1)-$Q$17)/$Q$19*$Q$13,NA())))</f>
        <v>#N/A</v>
      </c>
      <c r="AA26" t="e">
        <f>IF(V26=1,NA(),IF(INDEX($B$6:$M$17,($Q$3-1-0)*$Q$4+X26+1,0*$Q$5+W26+1)="",NA(),IF(INDEX($B$6:$M$17,($Q$3-1-0)*$Q$4+X26+1,0*$Q$5+W26+1)&lt;0,0+(INDEX($B$6:$M$17,($Q$3-1-0)*$Q$4+X26+1,0*$Q$5+W26+1)-$Q$17)/$Q$19*$Q$13,NA())))</f>
        <v>#N/A</v>
      </c>
      <c r="AB26" t="e">
        <f>IF(V26=1,NA(),IF(INDEX($B$6:$M$17,($Q$3-1-1)*$Q$4+X26+1,0*$Q$5+W26+1)="",NA(),IF(INDEX($B$6:$M$17,($Q$3-1-1)*$Q$4+X26+1,0*$Q$5+W26+1)&gt;=0,1+(INDEX($B$6:$M$17,($Q$3-1-1)*$Q$4+X26+1,0*$Q$5+W26+1)-$Q$17)/$Q$19*$Q$13,NA())))</f>
        <v>#N/A</v>
      </c>
      <c r="AC26" t="e">
        <f>IF(V26=1,NA(),IF(INDEX($B$6:$M$17,($Q$3-1-1)*$Q$4+X26+1,0*$Q$5+W26+1)="",NA(),IF(INDEX($B$6:$M$17,($Q$3-1-1)*$Q$4+X26+1,0*$Q$5+W26+1)&lt;0,1+(INDEX($B$6:$M$17,($Q$3-1-1)*$Q$4+X26+1,0*$Q$5+W26+1)-$Q$17)/$Q$19*$Q$13,NA())))</f>
        <v>#N/A</v>
      </c>
      <c r="AD26" t="e">
        <f>IF(V26=1,NA(),IF(INDEX($B$6:$M$17,($Q$3-1-2)*$Q$4+X26+1,0*$Q$5+W26+1)="",NA(),IF(INDEX($B$6:$M$17,($Q$3-1-2)*$Q$4+X26+1,0*$Q$5+W26+1)&gt;=0,2+(INDEX($B$6:$M$17,($Q$3-1-2)*$Q$4+X26+1,0*$Q$5+W26+1)-$Q$17)/$Q$19*$Q$13,NA())))</f>
        <v>#N/A</v>
      </c>
      <c r="AE26" t="e">
        <f>IF(V26=1,NA(),IF(INDEX($B$6:$M$17,($Q$3-1-2)*$Q$4+X26+1,0*$Q$5+W26+1)="",NA(),IF(INDEX($B$6:$M$17,($Q$3-1-2)*$Q$4+X26+1,0*$Q$5+W26+1)&lt;0,2+(INDEX($B$6:$M$17,($Q$3-1-2)*$Q$4+X26+1,0*$Q$5+W26+1)-$Q$17)/$Q$19*$Q$13,NA())))</f>
        <v>#N/A</v>
      </c>
      <c r="AF26" t="e">
        <f>IF(V26=1,NA(),IF(INDEX($B$6:$M$17,($Q$3-1-3)*$Q$4+X26+1,0*$Q$5+W26+1)="",NA(),IF(INDEX($B$6:$M$17,($Q$3-1-3)*$Q$4+X26+1,0*$Q$5+W26+1)&gt;=0,3+(INDEX($B$6:$M$17,($Q$3-1-3)*$Q$4+X26+1,0*$Q$5+W26+1)-$Q$17)/$Q$19*$Q$13,NA())))</f>
        <v>#N/A</v>
      </c>
      <c r="AG26" t="e">
        <f>IF(V26=1,NA(),IF(INDEX($B$6:$M$17,($Q$3-1-3)*$Q$4+X26+1,0*$Q$5+W26+1)="",NA(),IF(INDEX($B$6:$M$17,($Q$3-1-3)*$Q$4+X26+1,0*$Q$5+W26+1)&lt;0,3+(INDEX($B$6:$M$17,($Q$3-1-3)*$Q$4+X26+1,0*$Q$5+W26+1)-$Q$17)/$Q$19*$Q$13,NA())))</f>
        <v>#N/A</v>
      </c>
      <c r="AI26">
        <f>IF(V26=1,0,IF(INDEX($B$6:$M$17,($Q$3-1-0)*$Q$4+X26+1,0*$Q$5+W26+1)="",0,IF(INDEX($B$6:$M$17,($Q$3-1-0)*$Q$4+X26+1,0*$Q$5+W26+1)&gt;=0,ABS(INDEX($B$6:$M$17,($Q$3-1-0)*$Q$4+X26+1,0*$Q$5+W26+1))/$Q$19*$Q$13,0)))</f>
        <v>0</v>
      </c>
      <c r="AJ26">
        <f>IF(V26=1,0,IF(INDEX($B$6:$M$17,($Q$3-1-0)*$Q$4+X26+1,0*$Q$5+W26+1)="",0,IF(INDEX($B$6:$M$17,($Q$3-1-0)*$Q$4+X26+1,0*$Q$5+W26+1)&lt;0,ABS(INDEX($B$6:$M$17,($Q$3-1-0)*$Q$4+X26+1,0*$Q$5+W26+1))/$Q$19*$Q$13,0)))</f>
        <v>0</v>
      </c>
      <c r="AK26">
        <f>IF(V26=1,0,IF(INDEX($B$6:$M$17,($Q$3-1-1)*$Q$4+X26+1,0*$Q$5+W26+1)="",0,IF(INDEX($B$6:$M$17,($Q$3-1-1)*$Q$4+X26+1,0*$Q$5+W26+1)&gt;=0,ABS(INDEX($B$6:$M$17,($Q$3-1-1)*$Q$4+X26+1,0*$Q$5+W26+1))/$Q$19*$Q$13,0)))</f>
        <v>0</v>
      </c>
      <c r="AL26">
        <f>IF(V26=1,0,IF(INDEX($B$6:$M$17,($Q$3-1-1)*$Q$4+X26+1,0*$Q$5+W26+1)="",0,IF(INDEX($B$6:$M$17,($Q$3-1-1)*$Q$4+X26+1,0*$Q$5+W26+1)&lt;0,ABS(INDEX($B$6:$M$17,($Q$3-1-1)*$Q$4+X26+1,0*$Q$5+W26+1))/$Q$19*$Q$13,0)))</f>
        <v>0</v>
      </c>
      <c r="AM26">
        <f>IF(V26=1,0,IF(INDEX($B$6:$M$17,($Q$3-1-2)*$Q$4+X26+1,0*$Q$5+W26+1)="",0,IF(INDEX($B$6:$M$17,($Q$3-1-2)*$Q$4+X26+1,0*$Q$5+W26+1)&gt;=0,ABS(INDEX($B$6:$M$17,($Q$3-1-2)*$Q$4+X26+1,0*$Q$5+W26+1))/$Q$19*$Q$13,0)))</f>
        <v>0</v>
      </c>
      <c r="AN26">
        <f>IF(V26=1,0,IF(INDEX($B$6:$M$17,($Q$3-1-2)*$Q$4+X26+1,0*$Q$5+W26+1)="",0,IF(INDEX($B$6:$M$17,($Q$3-1-2)*$Q$4+X26+1,0*$Q$5+W26+1)&lt;0,ABS(INDEX($B$6:$M$17,($Q$3-1-2)*$Q$4+X26+1,0*$Q$5+W26+1))/$Q$19*$Q$13,0)))</f>
        <v>0</v>
      </c>
      <c r="AO26">
        <f>IF(V26=1,0,IF(INDEX($B$6:$M$17,($Q$3-1-3)*$Q$4+X26+1,0*$Q$5+W26+1)="",0,IF(INDEX($B$6:$M$17,($Q$3-1-3)*$Q$4+X26+1,0*$Q$5+W26+1)&gt;=0,ABS(INDEX($B$6:$M$17,($Q$3-1-3)*$Q$4+X26+1,0*$Q$5+W26+1))/$Q$19*$Q$13,0)))</f>
        <v>0</v>
      </c>
      <c r="AP26">
        <f>IF(V26=1,0,IF(INDEX($B$6:$M$17,($Q$3-1-3)*$Q$4+X26+1,0*$Q$5+W26+1)="",0,IF(INDEX($B$6:$M$17,($Q$3-1-3)*$Q$4+X26+1,0*$Q$5+W26+1)&lt;0,ABS(INDEX($B$6:$M$17,($Q$3-1-3)*$Q$4+X26+1,0*$Q$5+W26+1))/$Q$19*$Q$13,0)))</f>
        <v>0</v>
      </c>
      <c r="AR26" t="str">
        <f>IF(V26=1,"",IF(INDEX($B$6:$M$17,($Q$3-1-0)*$Q$4+X26+1,0*$Q$5+W26+1)="","",IF(INDEX($B$6:$M$17,($Q$3-1-0)*$Q$4+X26+1,0*$Q$5+W26+1)&gt;=0,TEXT(INDEX($B$6:$M$17,($Q$3-1-0)*$Q$4+X26+1,0*$Q$5+W26+1),"+0;-0;0"),"")))</f>
        <v/>
      </c>
      <c r="AS26" t="str">
        <f>IF(V26=1,"",IF(INDEX($B$6:$M$17,($Q$3-1-0)*$Q$4+X26+1,0*$Q$5+W26+1)="","",IF(INDEX($B$6:$M$17,($Q$3-1-0)*$Q$4+X26+1,0*$Q$5+W26+1)&lt;0,TEXT(INDEX($B$6:$M$17,($Q$3-1-0)*$Q$4+X26+1,0*$Q$5+W26+1),"+0;-0;0"),"")))</f>
        <v/>
      </c>
      <c r="AT26" t="str">
        <f>IF(V26=1,"",IF(INDEX($B$6:$M$17,($Q$3-1-1)*$Q$4+X26+1,0*$Q$5+W26+1)="","",IF(INDEX($B$6:$M$17,($Q$3-1-1)*$Q$4+X26+1,0*$Q$5+W26+1)&gt;=0,TEXT(INDEX($B$6:$M$17,($Q$3-1-1)*$Q$4+X26+1,0*$Q$5+W26+1),"+0;-0;0"),"")))</f>
        <v/>
      </c>
      <c r="AU26" t="str">
        <f>IF(V26=1,"",IF(INDEX($B$6:$M$17,($Q$3-1-1)*$Q$4+X26+1,0*$Q$5+W26+1)="","",IF(INDEX($B$6:$M$17,($Q$3-1-1)*$Q$4+X26+1,0*$Q$5+W26+1)&lt;0,TEXT(INDEX($B$6:$M$17,($Q$3-1-1)*$Q$4+X26+1,0*$Q$5+W26+1),"+0;-0;0"),"")))</f>
        <v/>
      </c>
      <c r="AV26" t="str">
        <f>IF(V26=1,"",IF(INDEX($B$6:$M$17,($Q$3-1-2)*$Q$4+X26+1,0*$Q$5+W26+1)="","",IF(INDEX($B$6:$M$17,($Q$3-1-2)*$Q$4+X26+1,0*$Q$5+W26+1)&gt;=0,TEXT(INDEX($B$6:$M$17,($Q$3-1-2)*$Q$4+X26+1,0*$Q$5+W26+1),"+0;-0;0"),"")))</f>
        <v/>
      </c>
      <c r="AW26" t="str">
        <f>IF(V26=1,"",IF(INDEX($B$6:$M$17,($Q$3-1-2)*$Q$4+X26+1,0*$Q$5+W26+1)="","",IF(INDEX($B$6:$M$17,($Q$3-1-2)*$Q$4+X26+1,0*$Q$5+W26+1)&lt;0,TEXT(INDEX($B$6:$M$17,($Q$3-1-2)*$Q$4+X26+1,0*$Q$5+W26+1),"+0;-0;0"),"")))</f>
        <v/>
      </c>
      <c r="AX26" t="str">
        <f>IF(V26=1,"",IF(INDEX($B$6:$M$17,($Q$3-1-3)*$Q$4+X26+1,0*$Q$5+W26+1)="","",IF(INDEX($B$6:$M$17,($Q$3-1-3)*$Q$4+X26+1,0*$Q$5+W26+1)&gt;=0,TEXT(INDEX($B$6:$M$17,($Q$3-1-3)*$Q$4+X26+1,0*$Q$5+W26+1),"+0;-0;0"),"")))</f>
        <v/>
      </c>
      <c r="AY26" t="str">
        <f>IF(V26=1,"",IF(INDEX($B$6:$M$17,($Q$3-1-3)*$Q$4+X26+1,0*$Q$5+W26+1)="","",IF(INDEX($B$6:$M$17,($Q$3-1-3)*$Q$4+X26+1,0*$Q$5+W26+1)&lt;0,TEXT(INDEX($B$6:$M$17,($Q$3-1-3)*$Q$4+X26+1,0*$Q$5+W26+1),"+0;-0;0"),"")))</f>
        <v/>
      </c>
      <c r="BA26">
        <v>16</v>
      </c>
      <c r="BB26" t="e">
        <f>NA()</f>
        <v>#N/A</v>
      </c>
      <c r="BD26">
        <v>41.5</v>
      </c>
      <c r="BE26" t="e">
        <f>NA()</f>
        <v>#N/A</v>
      </c>
      <c r="BG26">
        <v>15.5</v>
      </c>
      <c r="BH26" t="e">
        <f>NA()</f>
        <v>#N/A</v>
      </c>
      <c r="BJ26">
        <v>30</v>
      </c>
      <c r="BK26">
        <f>3+$Q$13+0.03</f>
        <v>3.8499999999999996</v>
      </c>
      <c r="BL26" t="str">
        <f>Pin!$A$8</f>
        <v>Business partner 03</v>
      </c>
      <c r="BN26">
        <v>3.35</v>
      </c>
      <c r="BO26">
        <f>0+1*$Q$13</f>
        <v>0.82</v>
      </c>
      <c r="BP26" t="str">
        <f>TEXT($Q$17+($Q$18-$Q$17)*1,"#,##0")</f>
        <v>30</v>
      </c>
    </row>
    <row r="27" spans="1:73" x14ac:dyDescent="0.35">
      <c r="P27">
        <v>4</v>
      </c>
      <c r="Q27">
        <f>P27-$Q$12</f>
        <v>1</v>
      </c>
      <c r="R27">
        <f>IF(Q27&lt;=0,-1,INT((Q27-1)/($Q$10+$Q$11)))</f>
        <v>0</v>
      </c>
      <c r="S27">
        <f>IF(Q27&lt;=0,-1,MOD(Q27-1,($Q$10+$Q$11)))</f>
        <v>0</v>
      </c>
      <c r="T27">
        <f>IF(OR(S27&lt;0,S27&gt;=$Q$10),-1,INT(S27/$Q$9))</f>
        <v>0</v>
      </c>
      <c r="U27">
        <f>IF(OR(S27&lt;0,S27&gt;=$Q$10),-1,MOD(S27,$Q$9))</f>
        <v>0</v>
      </c>
      <c r="V27">
        <f>IF(OR(Q27&lt;=0,S27&lt;0,S27&gt;=$Q$10,R27&gt;=$Q$7),1,0)</f>
        <v>0</v>
      </c>
      <c r="W27">
        <f>IF(V27=1,-1,T27)</f>
        <v>0</v>
      </c>
      <c r="X27">
        <f>IF(V27=1,-1,R27)</f>
        <v>0</v>
      </c>
      <c r="Y27" t="str">
        <f>IF(V27=1,"",IF(AND(MOD(W27,3)=0,U27=INT(($Q$9-1)/2)),INDEX($B$5:$M$5,W27+1),""))</f>
        <v>Jan</v>
      </c>
      <c r="Z27">
        <f>IF(V27=1,NA(),IF(INDEX($B$6:$M$17,($Q$3-1-0)*$Q$4+X27+1,0*$Q$5+W27+1)="",NA(),IF(INDEX($B$6:$M$17,($Q$3-1-0)*$Q$4+X27+1,0*$Q$5+W27+1)&gt;=0,0+(INDEX($B$6:$M$17,($Q$3-1-0)*$Q$4+X27+1,0*$Q$5+W27+1)-$Q$17)/$Q$19*$Q$13,NA())))</f>
        <v>0.51249999999999996</v>
      </c>
      <c r="AA27" t="e">
        <f>IF(V27=1,NA(),IF(INDEX($B$6:$M$17,($Q$3-1-0)*$Q$4+X27+1,0*$Q$5+W27+1)="",NA(),IF(INDEX($B$6:$M$17,($Q$3-1-0)*$Q$4+X27+1,0*$Q$5+W27+1)&lt;0,0+(INDEX($B$6:$M$17,($Q$3-1-0)*$Q$4+X27+1,0*$Q$5+W27+1)-$Q$17)/$Q$19*$Q$13,NA())))</f>
        <v>#N/A</v>
      </c>
      <c r="AB27" t="e">
        <f>IF(V27=1,NA(),IF(INDEX($B$6:$M$17,($Q$3-1-1)*$Q$4+X27+1,0*$Q$5+W27+1)="",NA(),IF(INDEX($B$6:$M$17,($Q$3-1-1)*$Q$4+X27+1,0*$Q$5+W27+1)&gt;=0,1+(INDEX($B$6:$M$17,($Q$3-1-1)*$Q$4+X27+1,0*$Q$5+W27+1)-$Q$17)/$Q$19*$Q$13,NA())))</f>
        <v>#N/A</v>
      </c>
      <c r="AC27">
        <f>IF(V27=1,NA(),IF(INDEX($B$6:$M$17,($Q$3-1-1)*$Q$4+X27+1,0*$Q$5+W27+1)="",NA(),IF(INDEX($B$6:$M$17,($Q$3-1-1)*$Q$4+X27+1,0*$Q$5+W27+1)&lt;0,1+(INDEX($B$6:$M$17,($Q$3-1-1)*$Q$4+X27+1,0*$Q$5+W27+1)-$Q$17)/$Q$19*$Q$13,NA())))</f>
        <v>1.3143333333333334</v>
      </c>
      <c r="AD27" t="e">
        <f>IF(V27=1,NA(),IF(INDEX($B$6:$M$17,($Q$3-1-2)*$Q$4+X27+1,0*$Q$5+W27+1)="",NA(),IF(INDEX($B$6:$M$17,($Q$3-1-2)*$Q$4+X27+1,0*$Q$5+W27+1)&gt;=0,2+(INDEX($B$6:$M$17,($Q$3-1-2)*$Q$4+X27+1,0*$Q$5+W27+1)-$Q$17)/$Q$19*$Q$13,NA())))</f>
        <v>#N/A</v>
      </c>
      <c r="AE27">
        <f>IF(V27=1,NA(),IF(INDEX($B$6:$M$17,($Q$3-1-2)*$Q$4+X27+1,0*$Q$5+W27+1)="",NA(),IF(INDEX($B$6:$M$17,($Q$3-1-2)*$Q$4+X27+1,0*$Q$5+W27+1)&lt;0,2+(INDEX($B$6:$M$17,($Q$3-1-2)*$Q$4+X27+1,0*$Q$5+W27+1)-$Q$17)/$Q$19*$Q$13,NA())))</f>
        <v>2.1229999999999998</v>
      </c>
      <c r="AF27" t="e">
        <f>IF(V27=1,NA(),IF(INDEX($B$6:$M$17,($Q$3-1-3)*$Q$4+X27+1,0*$Q$5+W27+1)="",NA(),IF(INDEX($B$6:$M$17,($Q$3-1-3)*$Q$4+X27+1,0*$Q$5+W27+1)&gt;=0,3+(INDEX($B$6:$M$17,($Q$3-1-3)*$Q$4+X27+1,0*$Q$5+W27+1)-$Q$17)/$Q$19*$Q$13,NA())))</f>
        <v>#N/A</v>
      </c>
      <c r="AG27">
        <f>IF(V27=1,NA(),IF(INDEX($B$6:$M$17,($Q$3-1-3)*$Q$4+X27+1,0*$Q$5+W27+1)="",NA(),IF(INDEX($B$6:$M$17,($Q$3-1-3)*$Q$4+X27+1,0*$Q$5+W27+1)&lt;0,3+(INDEX($B$6:$M$17,($Q$3-1-3)*$Q$4+X27+1,0*$Q$5+W27+1)-$Q$17)/$Q$19*$Q$13,NA())))</f>
        <v>3.3758333333333335</v>
      </c>
      <c r="AI27">
        <f>IF(V27=1,0,IF(INDEX($B$6:$M$17,($Q$3-1-0)*$Q$4+X27+1,0*$Q$5+W27+1)="",0,IF(INDEX($B$6:$M$17,($Q$3-1-0)*$Q$4+X27+1,0*$Q$5+W27+1)&gt;=0,ABS(INDEX($B$6:$M$17,($Q$3-1-0)*$Q$4+X27+1,0*$Q$5+W27+1))/$Q$19*$Q$13,0)))</f>
        <v>0.10249999999999999</v>
      </c>
      <c r="AJ27">
        <f>IF(V27=1,0,IF(INDEX($B$6:$M$17,($Q$3-1-0)*$Q$4+X27+1,0*$Q$5+W27+1)="",0,IF(INDEX($B$6:$M$17,($Q$3-1-0)*$Q$4+X27+1,0*$Q$5+W27+1)&lt;0,ABS(INDEX($B$6:$M$17,($Q$3-1-0)*$Q$4+X27+1,0*$Q$5+W27+1))/$Q$19*$Q$13,0)))</f>
        <v>0</v>
      </c>
      <c r="AK27">
        <f>IF(V27=1,0,IF(INDEX($B$6:$M$17,($Q$3-1-1)*$Q$4+X27+1,0*$Q$5+W27+1)="",0,IF(INDEX($B$6:$M$17,($Q$3-1-1)*$Q$4+X27+1,0*$Q$5+W27+1)&gt;=0,ABS(INDEX($B$6:$M$17,($Q$3-1-1)*$Q$4+X27+1,0*$Q$5+W27+1))/$Q$19*$Q$13,0)))</f>
        <v>0</v>
      </c>
      <c r="AL27">
        <f>IF(V27=1,0,IF(INDEX($B$6:$M$17,($Q$3-1-1)*$Q$4+X27+1,0*$Q$5+W27+1)="",0,IF(INDEX($B$6:$M$17,($Q$3-1-1)*$Q$4+X27+1,0*$Q$5+W27+1)&lt;0,ABS(INDEX($B$6:$M$17,($Q$3-1-1)*$Q$4+X27+1,0*$Q$5+W27+1))/$Q$19*$Q$13,0)))</f>
        <v>9.5666666666666664E-2</v>
      </c>
      <c r="AM27">
        <f>IF(V27=1,0,IF(INDEX($B$6:$M$17,($Q$3-1-2)*$Q$4+X27+1,0*$Q$5+W27+1)="",0,IF(INDEX($B$6:$M$17,($Q$3-1-2)*$Q$4+X27+1,0*$Q$5+W27+1)&gt;=0,ABS(INDEX($B$6:$M$17,($Q$3-1-2)*$Q$4+X27+1,0*$Q$5+W27+1))/$Q$19*$Q$13,0)))</f>
        <v>0</v>
      </c>
      <c r="AN27">
        <f>IF(V27=1,0,IF(INDEX($B$6:$M$17,($Q$3-1-2)*$Q$4+X27+1,0*$Q$5+W27+1)="",0,IF(INDEX($B$6:$M$17,($Q$3-1-2)*$Q$4+X27+1,0*$Q$5+W27+1)&lt;0,ABS(INDEX($B$6:$M$17,($Q$3-1-2)*$Q$4+X27+1,0*$Q$5+W27+1))/$Q$19*$Q$13,0)))</f>
        <v>0.28699999999999998</v>
      </c>
      <c r="AO27">
        <f>IF(V27=1,0,IF(INDEX($B$6:$M$17,($Q$3-1-3)*$Q$4+X27+1,0*$Q$5+W27+1)="",0,IF(INDEX($B$6:$M$17,($Q$3-1-3)*$Q$4+X27+1,0*$Q$5+W27+1)&gt;=0,ABS(INDEX($B$6:$M$17,($Q$3-1-3)*$Q$4+X27+1,0*$Q$5+W27+1))/$Q$19*$Q$13,0)))</f>
        <v>0</v>
      </c>
      <c r="AP27">
        <f>IF(V27=1,0,IF(INDEX($B$6:$M$17,($Q$3-1-3)*$Q$4+X27+1,0*$Q$5+W27+1)="",0,IF(INDEX($B$6:$M$17,($Q$3-1-3)*$Q$4+X27+1,0*$Q$5+W27+1)&lt;0,ABS(INDEX($B$6:$M$17,($Q$3-1-3)*$Q$4+X27+1,0*$Q$5+W27+1))/$Q$19*$Q$13,0)))</f>
        <v>3.4166666666666665E-2</v>
      </c>
      <c r="AR27" t="str">
        <f>IF(V27=1,"",IF(INDEX($B$6:$M$17,($Q$3-1-0)*$Q$4+X27+1,0*$Q$5+W27+1)="","",IF(INDEX($B$6:$M$17,($Q$3-1-0)*$Q$4+X27+1,0*$Q$5+W27+1)&gt;=0,TEXT(INDEX($B$6:$M$17,($Q$3-1-0)*$Q$4+X27+1,0*$Q$5+W27+1),"+0;-0;0"),"")))</f>
        <v>+8</v>
      </c>
      <c r="AS27" t="str">
        <f>IF(V27=1,"",IF(INDEX($B$6:$M$17,($Q$3-1-0)*$Q$4+X27+1,0*$Q$5+W27+1)="","",IF(INDEX($B$6:$M$17,($Q$3-1-0)*$Q$4+X27+1,0*$Q$5+W27+1)&lt;0,TEXT(INDEX($B$6:$M$17,($Q$3-1-0)*$Q$4+X27+1,0*$Q$5+W27+1),"+0;-0;0"),"")))</f>
        <v/>
      </c>
      <c r="AT27" t="str">
        <f>IF(V27=1,"",IF(INDEX($B$6:$M$17,($Q$3-1-1)*$Q$4+X27+1,0*$Q$5+W27+1)="","",IF(INDEX($B$6:$M$17,($Q$3-1-1)*$Q$4+X27+1,0*$Q$5+W27+1)&gt;=0,TEXT(INDEX($B$6:$M$17,($Q$3-1-1)*$Q$4+X27+1,0*$Q$5+W27+1),"+0;-0;0"),"")))</f>
        <v/>
      </c>
      <c r="AU27" t="str">
        <f>IF(V27=1,"",IF(INDEX($B$6:$M$17,($Q$3-1-1)*$Q$4+X27+1,0*$Q$5+W27+1)="","",IF(INDEX($B$6:$M$17,($Q$3-1-1)*$Q$4+X27+1,0*$Q$5+W27+1)&lt;0,TEXT(INDEX($B$6:$M$17,($Q$3-1-1)*$Q$4+X27+1,0*$Q$5+W27+1),"+0;-0;0"),"")))</f>
        <v>-7</v>
      </c>
      <c r="AV27" t="str">
        <f>IF(V27=1,"",IF(INDEX($B$6:$M$17,($Q$3-1-2)*$Q$4+X27+1,0*$Q$5+W27+1)="","",IF(INDEX($B$6:$M$17,($Q$3-1-2)*$Q$4+X27+1,0*$Q$5+W27+1)&gt;=0,TEXT(INDEX($B$6:$M$17,($Q$3-1-2)*$Q$4+X27+1,0*$Q$5+W27+1),"+0;-0;0"),"")))</f>
        <v/>
      </c>
      <c r="AW27" t="str">
        <f>IF(V27=1,"",IF(INDEX($B$6:$M$17,($Q$3-1-2)*$Q$4+X27+1,0*$Q$5+W27+1)="","",IF(INDEX($B$6:$M$17,($Q$3-1-2)*$Q$4+X27+1,0*$Q$5+W27+1)&lt;0,TEXT(INDEX($B$6:$M$17,($Q$3-1-2)*$Q$4+X27+1,0*$Q$5+W27+1),"+0;-0;0"),"")))</f>
        <v>-21</v>
      </c>
      <c r="AX27" t="str">
        <f>IF(V27=1,"",IF(INDEX($B$6:$M$17,($Q$3-1-3)*$Q$4+X27+1,0*$Q$5+W27+1)="","",IF(INDEX($B$6:$M$17,($Q$3-1-3)*$Q$4+X27+1,0*$Q$5+W27+1)&gt;=0,TEXT(INDEX($B$6:$M$17,($Q$3-1-3)*$Q$4+X27+1,0*$Q$5+W27+1),"+0;-0;0"),"")))</f>
        <v/>
      </c>
      <c r="AY27" t="str">
        <f>IF(V27=1,"",IF(INDEX($B$6:$M$17,($Q$3-1-3)*$Q$4+X27+1,0*$Q$5+W27+1)="","",IF(INDEX($B$6:$M$17,($Q$3-1-3)*$Q$4+X27+1,0*$Q$5+W27+1)&lt;0,TEXT(INDEX($B$6:$M$17,($Q$3-1-3)*$Q$4+X27+1,0*$Q$5+W27+1),"+0;-0;0"),"")))</f>
        <v>-3</v>
      </c>
      <c r="BA27">
        <v>29</v>
      </c>
      <c r="BB27">
        <v>0</v>
      </c>
      <c r="BD27">
        <v>0.5</v>
      </c>
      <c r="BE27">
        <v>1.91</v>
      </c>
      <c r="BG27">
        <v>16.5</v>
      </c>
      <c r="BH27">
        <f>IF(OR($Q$17&gt;0,$Q$18&lt;0),NA(),0+$Q$20)</f>
        <v>0.41</v>
      </c>
      <c r="BJ27">
        <v>4</v>
      </c>
      <c r="BK27">
        <f>2+$Q$13+0.03</f>
        <v>2.8499999999999996</v>
      </c>
      <c r="BL27" t="str">
        <f>Pin!$A$9</f>
        <v>Business partner 04</v>
      </c>
      <c r="BN27">
        <v>3.35</v>
      </c>
      <c r="BO27">
        <f>1+0*$Q$13</f>
        <v>1</v>
      </c>
      <c r="BP27" t="str">
        <f>TEXT($Q$17+($Q$18-$Q$17)*0,"#,##0")</f>
        <v>-30</v>
      </c>
    </row>
    <row r="28" spans="1:73" x14ac:dyDescent="0.35">
      <c r="P28">
        <v>5</v>
      </c>
      <c r="Q28">
        <f>P28-$Q$12</f>
        <v>2</v>
      </c>
      <c r="R28">
        <f>IF(Q28&lt;=0,-1,INT((Q28-1)/($Q$10+$Q$11)))</f>
        <v>0</v>
      </c>
      <c r="S28">
        <f>IF(Q28&lt;=0,-1,MOD(Q28-1,($Q$10+$Q$11)))</f>
        <v>1</v>
      </c>
      <c r="T28">
        <f>IF(OR(S28&lt;0,S28&gt;=$Q$10),-1,INT(S28/$Q$9))</f>
        <v>1</v>
      </c>
      <c r="U28">
        <f>IF(OR(S28&lt;0,S28&gt;=$Q$10),-1,MOD(S28,$Q$9))</f>
        <v>0</v>
      </c>
      <c r="V28">
        <f>IF(OR(Q28&lt;=0,S28&lt;0,S28&gt;=$Q$10,R28&gt;=$Q$7),1,0)</f>
        <v>0</v>
      </c>
      <c r="W28">
        <f>IF(V28=1,-1,T28)</f>
        <v>1</v>
      </c>
      <c r="X28">
        <f>IF(V28=1,-1,R28)</f>
        <v>0</v>
      </c>
      <c r="Y28" t="str">
        <f>IF(V28=1,"",IF(AND(MOD(W28,3)=0,U28=INT(($Q$9-1)/2)),INDEX($B$5:$M$5,W28+1),""))</f>
        <v/>
      </c>
      <c r="Z28" t="e">
        <f>IF(V28=1,NA(),IF(INDEX($B$6:$M$17,($Q$3-1-0)*$Q$4+X28+1,0*$Q$5+W28+1)="",NA(),IF(INDEX($B$6:$M$17,($Q$3-1-0)*$Q$4+X28+1,0*$Q$5+W28+1)&gt;=0,0+(INDEX($B$6:$M$17,($Q$3-1-0)*$Q$4+X28+1,0*$Q$5+W28+1)-$Q$17)/$Q$19*$Q$13,NA())))</f>
        <v>#N/A</v>
      </c>
      <c r="AA28">
        <f>IF(V28=1,NA(),IF(INDEX($B$6:$M$17,($Q$3-1-0)*$Q$4+X28+1,0*$Q$5+W28+1)="",NA(),IF(INDEX($B$6:$M$17,($Q$3-1-0)*$Q$4+X28+1,0*$Q$5+W28+1)&lt;0,0+(INDEX($B$6:$M$17,($Q$3-1-0)*$Q$4+X28+1,0*$Q$5+W28+1)-$Q$17)/$Q$19*$Q$13,NA())))</f>
        <v>0.26650000000000001</v>
      </c>
      <c r="AB28">
        <f>IF(V28=1,NA(),IF(INDEX($B$6:$M$17,($Q$3-1-1)*$Q$4+X28+1,0*$Q$5+W28+1)="",NA(),IF(INDEX($B$6:$M$17,($Q$3-1-1)*$Q$4+X28+1,0*$Q$5+W28+1)&gt;=0,1+(INDEX($B$6:$M$17,($Q$3-1-1)*$Q$4+X28+1,0*$Q$5+W28+1)-$Q$17)/$Q$19*$Q$13,NA())))</f>
        <v>1.5193333333333334</v>
      </c>
      <c r="AC28" t="e">
        <f>IF(V28=1,NA(),IF(INDEX($B$6:$M$17,($Q$3-1-1)*$Q$4+X28+1,0*$Q$5+W28+1)="",NA(),IF(INDEX($B$6:$M$17,($Q$3-1-1)*$Q$4+X28+1,0*$Q$5+W28+1)&lt;0,1+(INDEX($B$6:$M$17,($Q$3-1-1)*$Q$4+X28+1,0*$Q$5+W28+1)-$Q$17)/$Q$19*$Q$13,NA())))</f>
        <v>#N/A</v>
      </c>
      <c r="AD28" t="e">
        <f>IF(V28=1,NA(),IF(INDEX($B$6:$M$17,($Q$3-1-2)*$Q$4+X28+1,0*$Q$5+W28+1)="",NA(),IF(INDEX($B$6:$M$17,($Q$3-1-2)*$Q$4+X28+1,0*$Q$5+W28+1)&gt;=0,2+(INDEX($B$6:$M$17,($Q$3-1-2)*$Q$4+X28+1,0*$Q$5+W28+1)-$Q$17)/$Q$19*$Q$13,NA())))</f>
        <v>#N/A</v>
      </c>
      <c r="AE28">
        <f>IF(V28=1,NA(),IF(INDEX($B$6:$M$17,($Q$3-1-2)*$Q$4+X28+1,0*$Q$5+W28+1)="",NA(),IF(INDEX($B$6:$M$17,($Q$3-1-2)*$Q$4+X28+1,0*$Q$5+W28+1)&lt;0,2+(INDEX($B$6:$M$17,($Q$3-1-2)*$Q$4+X28+1,0*$Q$5+W28+1)-$Q$17)/$Q$19*$Q$13,NA())))</f>
        <v>2.3279999999999998</v>
      </c>
      <c r="AF28">
        <f>IF(V28=1,NA(),IF(INDEX($B$6:$M$17,($Q$3-1-3)*$Q$4+X28+1,0*$Q$5+W28+1)="",NA(),IF(INDEX($B$6:$M$17,($Q$3-1-3)*$Q$4+X28+1,0*$Q$5+W28+1)&gt;=0,3+(INDEX($B$6:$M$17,($Q$3-1-3)*$Q$4+X28+1,0*$Q$5+W28+1)-$Q$17)/$Q$19*$Q$13,NA())))</f>
        <v>3.5808333333333335</v>
      </c>
      <c r="AG28" t="e">
        <f>IF(V28=1,NA(),IF(INDEX($B$6:$M$17,($Q$3-1-3)*$Q$4+X28+1,0*$Q$5+W28+1)="",NA(),IF(INDEX($B$6:$M$17,($Q$3-1-3)*$Q$4+X28+1,0*$Q$5+W28+1)&lt;0,3+(INDEX($B$6:$M$17,($Q$3-1-3)*$Q$4+X28+1,0*$Q$5+W28+1)-$Q$17)/$Q$19*$Q$13,NA())))</f>
        <v>#N/A</v>
      </c>
      <c r="AI28">
        <f>IF(V28=1,0,IF(INDEX($B$6:$M$17,($Q$3-1-0)*$Q$4+X28+1,0*$Q$5+W28+1)="",0,IF(INDEX($B$6:$M$17,($Q$3-1-0)*$Q$4+X28+1,0*$Q$5+W28+1)&gt;=0,ABS(INDEX($B$6:$M$17,($Q$3-1-0)*$Q$4+X28+1,0*$Q$5+W28+1))/$Q$19*$Q$13,0)))</f>
        <v>0</v>
      </c>
      <c r="AJ28">
        <f>IF(V28=1,0,IF(INDEX($B$6:$M$17,($Q$3-1-0)*$Q$4+X28+1,0*$Q$5+W28+1)="",0,IF(INDEX($B$6:$M$17,($Q$3-1-0)*$Q$4+X28+1,0*$Q$5+W28+1)&lt;0,ABS(INDEX($B$6:$M$17,($Q$3-1-0)*$Q$4+X28+1,0*$Q$5+W28+1))/$Q$19*$Q$13,0)))</f>
        <v>0.14349999999999999</v>
      </c>
      <c r="AK28">
        <f>IF(V28=1,0,IF(INDEX($B$6:$M$17,($Q$3-1-1)*$Q$4+X28+1,0*$Q$5+W28+1)="",0,IF(INDEX($B$6:$M$17,($Q$3-1-1)*$Q$4+X28+1,0*$Q$5+W28+1)&gt;=0,ABS(INDEX($B$6:$M$17,($Q$3-1-1)*$Q$4+X28+1,0*$Q$5+W28+1))/$Q$19*$Q$13,0)))</f>
        <v>0.10933333333333332</v>
      </c>
      <c r="AL28">
        <f>IF(V28=1,0,IF(INDEX($B$6:$M$17,($Q$3-1-1)*$Q$4+X28+1,0*$Q$5+W28+1)="",0,IF(INDEX($B$6:$M$17,($Q$3-1-1)*$Q$4+X28+1,0*$Q$5+W28+1)&lt;0,ABS(INDEX($B$6:$M$17,($Q$3-1-1)*$Q$4+X28+1,0*$Q$5+W28+1))/$Q$19*$Q$13,0)))</f>
        <v>0</v>
      </c>
      <c r="AM28">
        <f>IF(V28=1,0,IF(INDEX($B$6:$M$17,($Q$3-1-2)*$Q$4+X28+1,0*$Q$5+W28+1)="",0,IF(INDEX($B$6:$M$17,($Q$3-1-2)*$Q$4+X28+1,0*$Q$5+W28+1)&gt;=0,ABS(INDEX($B$6:$M$17,($Q$3-1-2)*$Q$4+X28+1,0*$Q$5+W28+1))/$Q$19*$Q$13,0)))</f>
        <v>0</v>
      </c>
      <c r="AN28">
        <f>IF(V28=1,0,IF(INDEX($B$6:$M$17,($Q$3-1-2)*$Q$4+X28+1,0*$Q$5+W28+1)="",0,IF(INDEX($B$6:$M$17,($Q$3-1-2)*$Q$4+X28+1,0*$Q$5+W28+1)&lt;0,ABS(INDEX($B$6:$M$17,($Q$3-1-2)*$Q$4+X28+1,0*$Q$5+W28+1))/$Q$19*$Q$13,0)))</f>
        <v>8.2000000000000003E-2</v>
      </c>
      <c r="AO28">
        <f>IF(V28=1,0,IF(INDEX($B$6:$M$17,($Q$3-1-3)*$Q$4+X28+1,0*$Q$5+W28+1)="",0,IF(INDEX($B$6:$M$17,($Q$3-1-3)*$Q$4+X28+1,0*$Q$5+W28+1)&gt;=0,ABS(INDEX($B$6:$M$17,($Q$3-1-3)*$Q$4+X28+1,0*$Q$5+W28+1))/$Q$19*$Q$13,0)))</f>
        <v>0.17083333333333334</v>
      </c>
      <c r="AP28">
        <f>IF(V28=1,0,IF(INDEX($B$6:$M$17,($Q$3-1-3)*$Q$4+X28+1,0*$Q$5+W28+1)="",0,IF(INDEX($B$6:$M$17,($Q$3-1-3)*$Q$4+X28+1,0*$Q$5+W28+1)&lt;0,ABS(INDEX($B$6:$M$17,($Q$3-1-3)*$Q$4+X28+1,0*$Q$5+W28+1))/$Q$19*$Q$13,0)))</f>
        <v>0</v>
      </c>
      <c r="AR28" t="str">
        <f>IF(V28=1,"",IF(INDEX($B$6:$M$17,($Q$3-1-0)*$Q$4+X28+1,0*$Q$5+W28+1)="","",IF(INDEX($B$6:$M$17,($Q$3-1-0)*$Q$4+X28+1,0*$Q$5+W28+1)&gt;=0,TEXT(INDEX($B$6:$M$17,($Q$3-1-0)*$Q$4+X28+1,0*$Q$5+W28+1),"+0;-0;0"),"")))</f>
        <v/>
      </c>
      <c r="AS28" t="str">
        <f>IF(V28=1,"",IF(INDEX($B$6:$M$17,($Q$3-1-0)*$Q$4+X28+1,0*$Q$5+W28+1)="","",IF(INDEX($B$6:$M$17,($Q$3-1-0)*$Q$4+X28+1,0*$Q$5+W28+1)&lt;0,TEXT(INDEX($B$6:$M$17,($Q$3-1-0)*$Q$4+X28+1,0*$Q$5+W28+1),"+0;-0;0"),"")))</f>
        <v>-11</v>
      </c>
      <c r="AT28" t="str">
        <f>IF(V28=1,"",IF(INDEX($B$6:$M$17,($Q$3-1-1)*$Q$4+X28+1,0*$Q$5+W28+1)="","",IF(INDEX($B$6:$M$17,($Q$3-1-1)*$Q$4+X28+1,0*$Q$5+W28+1)&gt;=0,TEXT(INDEX($B$6:$M$17,($Q$3-1-1)*$Q$4+X28+1,0*$Q$5+W28+1),"+0;-0;0"),"")))</f>
        <v>+8</v>
      </c>
      <c r="AU28" t="str">
        <f>IF(V28=1,"",IF(INDEX($B$6:$M$17,($Q$3-1-1)*$Q$4+X28+1,0*$Q$5+W28+1)="","",IF(INDEX($B$6:$M$17,($Q$3-1-1)*$Q$4+X28+1,0*$Q$5+W28+1)&lt;0,TEXT(INDEX($B$6:$M$17,($Q$3-1-1)*$Q$4+X28+1,0*$Q$5+W28+1),"+0;-0;0"),"")))</f>
        <v/>
      </c>
      <c r="AV28" t="str">
        <f>IF(V28=1,"",IF(INDEX($B$6:$M$17,($Q$3-1-2)*$Q$4+X28+1,0*$Q$5+W28+1)="","",IF(INDEX($B$6:$M$17,($Q$3-1-2)*$Q$4+X28+1,0*$Q$5+W28+1)&gt;=0,TEXT(INDEX($B$6:$M$17,($Q$3-1-2)*$Q$4+X28+1,0*$Q$5+W28+1),"+0;-0;0"),"")))</f>
        <v/>
      </c>
      <c r="AW28" t="str">
        <f>IF(V28=1,"",IF(INDEX($B$6:$M$17,($Q$3-1-2)*$Q$4+X28+1,0*$Q$5+W28+1)="","",IF(INDEX($B$6:$M$17,($Q$3-1-2)*$Q$4+X28+1,0*$Q$5+W28+1)&lt;0,TEXT(INDEX($B$6:$M$17,($Q$3-1-2)*$Q$4+X28+1,0*$Q$5+W28+1),"+0;-0;0"),"")))</f>
        <v>-6</v>
      </c>
      <c r="AX28" t="str">
        <f>IF(V28=1,"",IF(INDEX($B$6:$M$17,($Q$3-1-3)*$Q$4+X28+1,0*$Q$5+W28+1)="","",IF(INDEX($B$6:$M$17,($Q$3-1-3)*$Q$4+X28+1,0*$Q$5+W28+1)&gt;=0,TEXT(INDEX($B$6:$M$17,($Q$3-1-3)*$Q$4+X28+1,0*$Q$5+W28+1),"+0;-0;0"),"")))</f>
        <v>+13</v>
      </c>
      <c r="AY28" t="str">
        <f>IF(V28=1,"",IF(INDEX($B$6:$M$17,($Q$3-1-3)*$Q$4+X28+1,0*$Q$5+W28+1)="","",IF(INDEX($B$6:$M$17,($Q$3-1-3)*$Q$4+X28+1,0*$Q$5+W28+1)&lt;0,TEXT(INDEX($B$6:$M$17,($Q$3-1-3)*$Q$4+X28+1,0*$Q$5+W28+1),"+0;-0;0"),"")))</f>
        <v/>
      </c>
      <c r="BA28">
        <v>29</v>
      </c>
      <c r="BB28">
        <v>4</v>
      </c>
      <c r="BD28">
        <v>41.5</v>
      </c>
      <c r="BE28">
        <v>1.91</v>
      </c>
      <c r="BG28">
        <v>28.5</v>
      </c>
      <c r="BH28">
        <f>IF(OR($Q$17&gt;0,$Q$18&lt;0),NA(),0+$Q$20)</f>
        <v>0.41</v>
      </c>
      <c r="BJ28">
        <v>17</v>
      </c>
      <c r="BK28">
        <f>2+$Q$13+0.03</f>
        <v>2.8499999999999996</v>
      </c>
      <c r="BL28" t="str">
        <f>Pin!$A$10</f>
        <v>Business partner 05</v>
      </c>
      <c r="BN28">
        <v>3.35</v>
      </c>
      <c r="BO28">
        <f>1+0.5*$Q$13</f>
        <v>1.41</v>
      </c>
      <c r="BP28" t="str">
        <f>TEXT($Q$17+($Q$18-$Q$17)*0.5,"#,##0")</f>
        <v>0</v>
      </c>
    </row>
    <row r="29" spans="1:73" x14ac:dyDescent="0.35">
      <c r="P29">
        <v>6</v>
      </c>
      <c r="Q29">
        <f>P29-$Q$12</f>
        <v>3</v>
      </c>
      <c r="R29">
        <f>IF(Q29&lt;=0,-1,INT((Q29-1)/($Q$10+$Q$11)))</f>
        <v>0</v>
      </c>
      <c r="S29">
        <f>IF(Q29&lt;=0,-1,MOD(Q29-1,($Q$10+$Q$11)))</f>
        <v>2</v>
      </c>
      <c r="T29">
        <f>IF(OR(S29&lt;0,S29&gt;=$Q$10),-1,INT(S29/$Q$9))</f>
        <v>2</v>
      </c>
      <c r="U29">
        <f>IF(OR(S29&lt;0,S29&gt;=$Q$10),-1,MOD(S29,$Q$9))</f>
        <v>0</v>
      </c>
      <c r="V29">
        <f>IF(OR(Q29&lt;=0,S29&lt;0,S29&gt;=$Q$10,R29&gt;=$Q$7),1,0)</f>
        <v>0</v>
      </c>
      <c r="W29">
        <f>IF(V29=1,-1,T29)</f>
        <v>2</v>
      </c>
      <c r="X29">
        <f>IF(V29=1,-1,R29)</f>
        <v>0</v>
      </c>
      <c r="Y29" t="str">
        <f>IF(V29=1,"",IF(AND(MOD(W29,3)=0,U29=INT(($Q$9-1)/2)),INDEX($B$5:$M$5,W29+1),""))</f>
        <v/>
      </c>
      <c r="Z29">
        <f>IF(V29=1,NA(),IF(INDEX($B$6:$M$17,($Q$3-1-0)*$Q$4+X29+1,0*$Q$5+W29+1)="",NA(),IF(INDEX($B$6:$M$17,($Q$3-1-0)*$Q$4+X29+1,0*$Q$5+W29+1)&gt;=0,0+(INDEX($B$6:$M$17,($Q$3-1-0)*$Q$4+X29+1,0*$Q$5+W29+1)-$Q$17)/$Q$19*$Q$13,NA())))</f>
        <v>0.47149999999999992</v>
      </c>
      <c r="AA29" t="e">
        <f>IF(V29=1,NA(),IF(INDEX($B$6:$M$17,($Q$3-1-0)*$Q$4+X29+1,0*$Q$5+W29+1)="",NA(),IF(INDEX($B$6:$M$17,($Q$3-1-0)*$Q$4+X29+1,0*$Q$5+W29+1)&lt;0,0+(INDEX($B$6:$M$17,($Q$3-1-0)*$Q$4+X29+1,0*$Q$5+W29+1)-$Q$17)/$Q$19*$Q$13,NA())))</f>
        <v>#N/A</v>
      </c>
      <c r="AB29" t="e">
        <f>IF(V29=1,NA(),IF(INDEX($B$6:$M$17,($Q$3-1-1)*$Q$4+X29+1,0*$Q$5+W29+1)="",NA(),IF(INDEX($B$6:$M$17,($Q$3-1-1)*$Q$4+X29+1,0*$Q$5+W29+1)&gt;=0,1+(INDEX($B$6:$M$17,($Q$3-1-1)*$Q$4+X29+1,0*$Q$5+W29+1)-$Q$17)/$Q$19*$Q$13,NA())))</f>
        <v>#N/A</v>
      </c>
      <c r="AC29">
        <f>IF(V29=1,NA(),IF(INDEX($B$6:$M$17,($Q$3-1-1)*$Q$4+X29+1,0*$Q$5+W29+1)="",NA(),IF(INDEX($B$6:$M$17,($Q$3-1-1)*$Q$4+X29+1,0*$Q$5+W29+1)&lt;0,1+(INDEX($B$6:$M$17,($Q$3-1-1)*$Q$4+X29+1,0*$Q$5+W29+1)-$Q$17)/$Q$19*$Q$13,NA())))</f>
        <v>1.2733333333333334</v>
      </c>
      <c r="AD29" t="e">
        <f>IF(V29=1,NA(),IF(INDEX($B$6:$M$17,($Q$3-1-2)*$Q$4+X29+1,0*$Q$5+W29+1)="",NA(),IF(INDEX($B$6:$M$17,($Q$3-1-2)*$Q$4+X29+1,0*$Q$5+W29+1)&gt;=0,2+(INDEX($B$6:$M$17,($Q$3-1-2)*$Q$4+X29+1,0*$Q$5+W29+1)-$Q$17)/$Q$19*$Q$13,NA())))</f>
        <v>#N/A</v>
      </c>
      <c r="AE29">
        <f>IF(V29=1,NA(),IF(INDEX($B$6:$M$17,($Q$3-1-2)*$Q$4+X29+1,0*$Q$5+W29+1)="",NA(),IF(INDEX($B$6:$M$17,($Q$3-1-2)*$Q$4+X29+1,0*$Q$5+W29+1)&lt;0,2+(INDEX($B$6:$M$17,($Q$3-1-2)*$Q$4+X29+1,0*$Q$5+W29+1)-$Q$17)/$Q$19*$Q$13,NA())))</f>
        <v>2.0819999999999999</v>
      </c>
      <c r="AF29" t="e">
        <f>IF(V29=1,NA(),IF(INDEX($B$6:$M$17,($Q$3-1-3)*$Q$4+X29+1,0*$Q$5+W29+1)="",NA(),IF(INDEX($B$6:$M$17,($Q$3-1-3)*$Q$4+X29+1,0*$Q$5+W29+1)&gt;=0,3+(INDEX($B$6:$M$17,($Q$3-1-3)*$Q$4+X29+1,0*$Q$5+W29+1)-$Q$17)/$Q$19*$Q$13,NA())))</f>
        <v>#N/A</v>
      </c>
      <c r="AG29">
        <f>IF(V29=1,NA(),IF(INDEX($B$6:$M$17,($Q$3-1-3)*$Q$4+X29+1,0*$Q$5+W29+1)="",NA(),IF(INDEX($B$6:$M$17,($Q$3-1-3)*$Q$4+X29+1,0*$Q$5+W29+1)&lt;0,3+(INDEX($B$6:$M$17,($Q$3-1-3)*$Q$4+X29+1,0*$Q$5+W29+1)-$Q$17)/$Q$19*$Q$13,NA())))</f>
        <v>3.3348333333333331</v>
      </c>
      <c r="AI29">
        <f>IF(V29=1,0,IF(INDEX($B$6:$M$17,($Q$3-1-0)*$Q$4+X29+1,0*$Q$5+W29+1)="",0,IF(INDEX($B$6:$M$17,($Q$3-1-0)*$Q$4+X29+1,0*$Q$5+W29+1)&gt;=0,ABS(INDEX($B$6:$M$17,($Q$3-1-0)*$Q$4+X29+1,0*$Q$5+W29+1))/$Q$19*$Q$13,0)))</f>
        <v>6.1499999999999992E-2</v>
      </c>
      <c r="AJ29">
        <f>IF(V29=1,0,IF(INDEX($B$6:$M$17,($Q$3-1-0)*$Q$4+X29+1,0*$Q$5+W29+1)="",0,IF(INDEX($B$6:$M$17,($Q$3-1-0)*$Q$4+X29+1,0*$Q$5+W29+1)&lt;0,ABS(INDEX($B$6:$M$17,($Q$3-1-0)*$Q$4+X29+1,0*$Q$5+W29+1))/$Q$19*$Q$13,0)))</f>
        <v>0</v>
      </c>
      <c r="AK29">
        <f>IF(V29=1,0,IF(INDEX($B$6:$M$17,($Q$3-1-1)*$Q$4+X29+1,0*$Q$5+W29+1)="",0,IF(INDEX($B$6:$M$17,($Q$3-1-1)*$Q$4+X29+1,0*$Q$5+W29+1)&gt;=0,ABS(INDEX($B$6:$M$17,($Q$3-1-1)*$Q$4+X29+1,0*$Q$5+W29+1))/$Q$19*$Q$13,0)))</f>
        <v>0</v>
      </c>
      <c r="AL29">
        <f>IF(V29=1,0,IF(INDEX($B$6:$M$17,($Q$3-1-1)*$Q$4+X29+1,0*$Q$5+W29+1)="",0,IF(INDEX($B$6:$M$17,($Q$3-1-1)*$Q$4+X29+1,0*$Q$5+W29+1)&lt;0,ABS(INDEX($B$6:$M$17,($Q$3-1-1)*$Q$4+X29+1,0*$Q$5+W29+1))/$Q$19*$Q$13,0)))</f>
        <v>0.13666666666666666</v>
      </c>
      <c r="AM29">
        <f>IF(V29=1,0,IF(INDEX($B$6:$M$17,($Q$3-1-2)*$Q$4+X29+1,0*$Q$5+W29+1)="",0,IF(INDEX($B$6:$M$17,($Q$3-1-2)*$Q$4+X29+1,0*$Q$5+W29+1)&gt;=0,ABS(INDEX($B$6:$M$17,($Q$3-1-2)*$Q$4+X29+1,0*$Q$5+W29+1))/$Q$19*$Q$13,0)))</f>
        <v>0</v>
      </c>
      <c r="AN29">
        <f>IF(V29=1,0,IF(INDEX($B$6:$M$17,($Q$3-1-2)*$Q$4+X29+1,0*$Q$5+W29+1)="",0,IF(INDEX($B$6:$M$17,($Q$3-1-2)*$Q$4+X29+1,0*$Q$5+W29+1)&lt;0,ABS(INDEX($B$6:$M$17,($Q$3-1-2)*$Q$4+X29+1,0*$Q$5+W29+1))/$Q$19*$Q$13,0)))</f>
        <v>0.32800000000000001</v>
      </c>
      <c r="AO29">
        <f>IF(V29=1,0,IF(INDEX($B$6:$M$17,($Q$3-1-3)*$Q$4+X29+1,0*$Q$5+W29+1)="",0,IF(INDEX($B$6:$M$17,($Q$3-1-3)*$Q$4+X29+1,0*$Q$5+W29+1)&gt;=0,ABS(INDEX($B$6:$M$17,($Q$3-1-3)*$Q$4+X29+1,0*$Q$5+W29+1))/$Q$19*$Q$13,0)))</f>
        <v>0</v>
      </c>
      <c r="AP29">
        <f>IF(V29=1,0,IF(INDEX($B$6:$M$17,($Q$3-1-3)*$Q$4+X29+1,0*$Q$5+W29+1)="",0,IF(INDEX($B$6:$M$17,($Q$3-1-3)*$Q$4+X29+1,0*$Q$5+W29+1)&lt;0,ABS(INDEX($B$6:$M$17,($Q$3-1-3)*$Q$4+X29+1,0*$Q$5+W29+1))/$Q$19*$Q$13,0)))</f>
        <v>7.5166666666666659E-2</v>
      </c>
      <c r="AR29" t="str">
        <f>IF(V29=1,"",IF(INDEX($B$6:$M$17,($Q$3-1-0)*$Q$4+X29+1,0*$Q$5+W29+1)="","",IF(INDEX($B$6:$M$17,($Q$3-1-0)*$Q$4+X29+1,0*$Q$5+W29+1)&gt;=0,TEXT(INDEX($B$6:$M$17,($Q$3-1-0)*$Q$4+X29+1,0*$Q$5+W29+1),"+0;-0;0"),"")))</f>
        <v>+5</v>
      </c>
      <c r="AS29" t="str">
        <f>IF(V29=1,"",IF(INDEX($B$6:$M$17,($Q$3-1-0)*$Q$4+X29+1,0*$Q$5+W29+1)="","",IF(INDEX($B$6:$M$17,($Q$3-1-0)*$Q$4+X29+1,0*$Q$5+W29+1)&lt;0,TEXT(INDEX($B$6:$M$17,($Q$3-1-0)*$Q$4+X29+1,0*$Q$5+W29+1),"+0;-0;0"),"")))</f>
        <v/>
      </c>
      <c r="AT29" t="str">
        <f>IF(V29=1,"",IF(INDEX($B$6:$M$17,($Q$3-1-1)*$Q$4+X29+1,0*$Q$5+W29+1)="","",IF(INDEX($B$6:$M$17,($Q$3-1-1)*$Q$4+X29+1,0*$Q$5+W29+1)&gt;=0,TEXT(INDEX($B$6:$M$17,($Q$3-1-1)*$Q$4+X29+1,0*$Q$5+W29+1),"+0;-0;0"),"")))</f>
        <v/>
      </c>
      <c r="AU29" t="str">
        <f>IF(V29=1,"",IF(INDEX($B$6:$M$17,($Q$3-1-1)*$Q$4+X29+1,0*$Q$5+W29+1)="","",IF(INDEX($B$6:$M$17,($Q$3-1-1)*$Q$4+X29+1,0*$Q$5+W29+1)&lt;0,TEXT(INDEX($B$6:$M$17,($Q$3-1-1)*$Q$4+X29+1,0*$Q$5+W29+1),"+0;-0;0"),"")))</f>
        <v>-10</v>
      </c>
      <c r="AV29" t="str">
        <f>IF(V29=1,"",IF(INDEX($B$6:$M$17,($Q$3-1-2)*$Q$4+X29+1,0*$Q$5+W29+1)="","",IF(INDEX($B$6:$M$17,($Q$3-1-2)*$Q$4+X29+1,0*$Q$5+W29+1)&gt;=0,TEXT(INDEX($B$6:$M$17,($Q$3-1-2)*$Q$4+X29+1,0*$Q$5+W29+1),"+0;-0;0"),"")))</f>
        <v/>
      </c>
      <c r="AW29" t="str">
        <f>IF(V29=1,"",IF(INDEX($B$6:$M$17,($Q$3-1-2)*$Q$4+X29+1,0*$Q$5+W29+1)="","",IF(INDEX($B$6:$M$17,($Q$3-1-2)*$Q$4+X29+1,0*$Q$5+W29+1)&lt;0,TEXT(INDEX($B$6:$M$17,($Q$3-1-2)*$Q$4+X29+1,0*$Q$5+W29+1),"+0;-0;0"),"")))</f>
        <v>-24</v>
      </c>
      <c r="AX29" t="str">
        <f>IF(V29=1,"",IF(INDEX($B$6:$M$17,($Q$3-1-3)*$Q$4+X29+1,0*$Q$5+W29+1)="","",IF(INDEX($B$6:$M$17,($Q$3-1-3)*$Q$4+X29+1,0*$Q$5+W29+1)&gt;=0,TEXT(INDEX($B$6:$M$17,($Q$3-1-3)*$Q$4+X29+1,0*$Q$5+W29+1),"+0;-0;0"),"")))</f>
        <v/>
      </c>
      <c r="AY29" t="str">
        <f>IF(V29=1,"",IF(INDEX($B$6:$M$17,($Q$3-1-3)*$Q$4+X29+1,0*$Q$5+W29+1)="","",IF(INDEX($B$6:$M$17,($Q$3-1-3)*$Q$4+X29+1,0*$Q$5+W29+1)&lt;0,TEXT(INDEX($B$6:$M$17,($Q$3-1-3)*$Q$4+X29+1,0*$Q$5+W29+1),"+0;-0;0"),"")))</f>
        <v>-6</v>
      </c>
      <c r="BA29">
        <v>29</v>
      </c>
      <c r="BB29" t="e">
        <f>NA()</f>
        <v>#N/A</v>
      </c>
      <c r="BD29">
        <v>41.5</v>
      </c>
      <c r="BE29" t="e">
        <f>NA()</f>
        <v>#N/A</v>
      </c>
      <c r="BG29">
        <v>28.5</v>
      </c>
      <c r="BH29" t="e">
        <f>NA()</f>
        <v>#N/A</v>
      </c>
      <c r="BJ29">
        <v>30</v>
      </c>
      <c r="BK29">
        <f>2+$Q$13+0.03</f>
        <v>2.8499999999999996</v>
      </c>
      <c r="BL29" t="str">
        <f>Pin!$A$11</f>
        <v>Business partner 06</v>
      </c>
      <c r="BN29">
        <v>3.35</v>
      </c>
      <c r="BO29">
        <f>1+1*$Q$13</f>
        <v>1.8199999999999998</v>
      </c>
      <c r="BP29" t="str">
        <f>TEXT($Q$17+($Q$18-$Q$17)*1,"#,##0")</f>
        <v>30</v>
      </c>
    </row>
    <row r="30" spans="1:73" x14ac:dyDescent="0.35">
      <c r="P30">
        <v>7</v>
      </c>
      <c r="Q30">
        <f>P30-$Q$12</f>
        <v>4</v>
      </c>
      <c r="R30">
        <f>IF(Q30&lt;=0,-1,INT((Q30-1)/($Q$10+$Q$11)))</f>
        <v>0</v>
      </c>
      <c r="S30">
        <f>IF(Q30&lt;=0,-1,MOD(Q30-1,($Q$10+$Q$11)))</f>
        <v>3</v>
      </c>
      <c r="T30">
        <f>IF(OR(S30&lt;0,S30&gt;=$Q$10),-1,INT(S30/$Q$9))</f>
        <v>3</v>
      </c>
      <c r="U30">
        <f>IF(OR(S30&lt;0,S30&gt;=$Q$10),-1,MOD(S30,$Q$9))</f>
        <v>0</v>
      </c>
      <c r="V30">
        <f>IF(OR(Q30&lt;=0,S30&lt;0,S30&gt;=$Q$10,R30&gt;=$Q$7),1,0)</f>
        <v>0</v>
      </c>
      <c r="W30">
        <f>IF(V30=1,-1,T30)</f>
        <v>3</v>
      </c>
      <c r="X30">
        <f>IF(V30=1,-1,R30)</f>
        <v>0</v>
      </c>
      <c r="Y30" t="str">
        <f>IF(V30=1,"",IF(AND(MOD(W30,3)=0,U30=INT(($Q$9-1)/2)),INDEX($B$5:$M$5,W30+1),""))</f>
        <v>Apr</v>
      </c>
      <c r="Z30" t="e">
        <f>IF(V30=1,NA(),IF(INDEX($B$6:$M$17,($Q$3-1-0)*$Q$4+X30+1,0*$Q$5+W30+1)="",NA(),IF(INDEX($B$6:$M$17,($Q$3-1-0)*$Q$4+X30+1,0*$Q$5+W30+1)&gt;=0,0+(INDEX($B$6:$M$17,($Q$3-1-0)*$Q$4+X30+1,0*$Q$5+W30+1)-$Q$17)/$Q$19*$Q$13,NA())))</f>
        <v>#N/A</v>
      </c>
      <c r="AA30">
        <f>IF(V30=1,NA(),IF(INDEX($B$6:$M$17,($Q$3-1-0)*$Q$4+X30+1,0*$Q$5+W30+1)="",NA(),IF(INDEX($B$6:$M$17,($Q$3-1-0)*$Q$4+X30+1,0*$Q$5+W30+1)&lt;0,0+(INDEX($B$6:$M$17,($Q$3-1-0)*$Q$4+X30+1,0*$Q$5+W30+1)-$Q$17)/$Q$19*$Q$13,NA())))</f>
        <v>0.22550000000000001</v>
      </c>
      <c r="AB30">
        <f>IF(V30=1,NA(),IF(INDEX($B$6:$M$17,($Q$3-1-1)*$Q$4+X30+1,0*$Q$5+W30+1)="",NA(),IF(INDEX($B$6:$M$17,($Q$3-1-1)*$Q$4+X30+1,0*$Q$5+W30+1)&gt;=0,1+(INDEX($B$6:$M$17,($Q$3-1-1)*$Q$4+X30+1,0*$Q$5+W30+1)-$Q$17)/$Q$19*$Q$13,NA())))</f>
        <v>1.4783333333333333</v>
      </c>
      <c r="AC30" t="e">
        <f>IF(V30=1,NA(),IF(INDEX($B$6:$M$17,($Q$3-1-1)*$Q$4+X30+1,0*$Q$5+W30+1)="",NA(),IF(INDEX($B$6:$M$17,($Q$3-1-1)*$Q$4+X30+1,0*$Q$5+W30+1)&lt;0,1+(INDEX($B$6:$M$17,($Q$3-1-1)*$Q$4+X30+1,0*$Q$5+W30+1)-$Q$17)/$Q$19*$Q$13,NA())))</f>
        <v>#N/A</v>
      </c>
      <c r="AD30" t="e">
        <f>IF(V30=1,NA(),IF(INDEX($B$6:$M$17,($Q$3-1-2)*$Q$4+X30+1,0*$Q$5+W30+1)="",NA(),IF(INDEX($B$6:$M$17,($Q$3-1-2)*$Q$4+X30+1,0*$Q$5+W30+1)&gt;=0,2+(INDEX($B$6:$M$17,($Q$3-1-2)*$Q$4+X30+1,0*$Q$5+W30+1)-$Q$17)/$Q$19*$Q$13,NA())))</f>
        <v>#N/A</v>
      </c>
      <c r="AE30">
        <f>IF(V30=1,NA(),IF(INDEX($B$6:$M$17,($Q$3-1-2)*$Q$4+X30+1,0*$Q$5+W30+1)="",NA(),IF(INDEX($B$6:$M$17,($Q$3-1-2)*$Q$4+X30+1,0*$Q$5+W30+1)&lt;0,2+(INDEX($B$6:$M$17,($Q$3-1-2)*$Q$4+X30+1,0*$Q$5+W30+1)-$Q$17)/$Q$19*$Q$13,NA())))</f>
        <v>2.2869999999999999</v>
      </c>
      <c r="AF30">
        <f>IF(V30=1,NA(),IF(INDEX($B$6:$M$17,($Q$3-1-3)*$Q$4+X30+1,0*$Q$5+W30+1)="",NA(),IF(INDEX($B$6:$M$17,($Q$3-1-3)*$Q$4+X30+1,0*$Q$5+W30+1)&gt;=0,3+(INDEX($B$6:$M$17,($Q$3-1-3)*$Q$4+X30+1,0*$Q$5+W30+1)-$Q$17)/$Q$19*$Q$13,NA())))</f>
        <v>3.5398333333333332</v>
      </c>
      <c r="AG30" t="e">
        <f>IF(V30=1,NA(),IF(INDEX($B$6:$M$17,($Q$3-1-3)*$Q$4+X30+1,0*$Q$5+W30+1)="",NA(),IF(INDEX($B$6:$M$17,($Q$3-1-3)*$Q$4+X30+1,0*$Q$5+W30+1)&lt;0,3+(INDEX($B$6:$M$17,($Q$3-1-3)*$Q$4+X30+1,0*$Q$5+W30+1)-$Q$17)/$Q$19*$Q$13,NA())))</f>
        <v>#N/A</v>
      </c>
      <c r="AI30">
        <f>IF(V30=1,0,IF(INDEX($B$6:$M$17,($Q$3-1-0)*$Q$4+X30+1,0*$Q$5+W30+1)="",0,IF(INDEX($B$6:$M$17,($Q$3-1-0)*$Q$4+X30+1,0*$Q$5+W30+1)&gt;=0,ABS(INDEX($B$6:$M$17,($Q$3-1-0)*$Q$4+X30+1,0*$Q$5+W30+1))/$Q$19*$Q$13,0)))</f>
        <v>0</v>
      </c>
      <c r="AJ30">
        <f>IF(V30=1,0,IF(INDEX($B$6:$M$17,($Q$3-1-0)*$Q$4+X30+1,0*$Q$5+W30+1)="",0,IF(INDEX($B$6:$M$17,($Q$3-1-0)*$Q$4+X30+1,0*$Q$5+W30+1)&lt;0,ABS(INDEX($B$6:$M$17,($Q$3-1-0)*$Q$4+X30+1,0*$Q$5+W30+1))/$Q$19*$Q$13,0)))</f>
        <v>0.1845</v>
      </c>
      <c r="AK30">
        <f>IF(V30=1,0,IF(INDEX($B$6:$M$17,($Q$3-1-1)*$Q$4+X30+1,0*$Q$5+W30+1)="",0,IF(INDEX($B$6:$M$17,($Q$3-1-1)*$Q$4+X30+1,0*$Q$5+W30+1)&gt;=0,ABS(INDEX($B$6:$M$17,($Q$3-1-1)*$Q$4+X30+1,0*$Q$5+W30+1))/$Q$19*$Q$13,0)))</f>
        <v>6.8333333333333329E-2</v>
      </c>
      <c r="AL30">
        <f>IF(V30=1,0,IF(INDEX($B$6:$M$17,($Q$3-1-1)*$Q$4+X30+1,0*$Q$5+W30+1)="",0,IF(INDEX($B$6:$M$17,($Q$3-1-1)*$Q$4+X30+1,0*$Q$5+W30+1)&lt;0,ABS(INDEX($B$6:$M$17,($Q$3-1-1)*$Q$4+X30+1,0*$Q$5+W30+1))/$Q$19*$Q$13,0)))</f>
        <v>0</v>
      </c>
      <c r="AM30">
        <f>IF(V30=1,0,IF(INDEX($B$6:$M$17,($Q$3-1-2)*$Q$4+X30+1,0*$Q$5+W30+1)="",0,IF(INDEX($B$6:$M$17,($Q$3-1-2)*$Q$4+X30+1,0*$Q$5+W30+1)&gt;=0,ABS(INDEX($B$6:$M$17,($Q$3-1-2)*$Q$4+X30+1,0*$Q$5+W30+1))/$Q$19*$Q$13,0)))</f>
        <v>0</v>
      </c>
      <c r="AN30">
        <f>IF(V30=1,0,IF(INDEX($B$6:$M$17,($Q$3-1-2)*$Q$4+X30+1,0*$Q$5+W30+1)="",0,IF(INDEX($B$6:$M$17,($Q$3-1-2)*$Q$4+X30+1,0*$Q$5+W30+1)&lt;0,ABS(INDEX($B$6:$M$17,($Q$3-1-2)*$Q$4+X30+1,0*$Q$5+W30+1))/$Q$19*$Q$13,0)))</f>
        <v>0.12299999999999998</v>
      </c>
      <c r="AO30">
        <f>IF(V30=1,0,IF(INDEX($B$6:$M$17,($Q$3-1-3)*$Q$4+X30+1,0*$Q$5+W30+1)="",0,IF(INDEX($B$6:$M$17,($Q$3-1-3)*$Q$4+X30+1,0*$Q$5+W30+1)&gt;=0,ABS(INDEX($B$6:$M$17,($Q$3-1-3)*$Q$4+X30+1,0*$Q$5+W30+1))/$Q$19*$Q$13,0)))</f>
        <v>0.12983333333333333</v>
      </c>
      <c r="AP30">
        <f>IF(V30=1,0,IF(INDEX($B$6:$M$17,($Q$3-1-3)*$Q$4+X30+1,0*$Q$5+W30+1)="",0,IF(INDEX($B$6:$M$17,($Q$3-1-3)*$Q$4+X30+1,0*$Q$5+W30+1)&lt;0,ABS(INDEX($B$6:$M$17,($Q$3-1-3)*$Q$4+X30+1,0*$Q$5+W30+1))/$Q$19*$Q$13,0)))</f>
        <v>0</v>
      </c>
      <c r="AR30" t="str">
        <f>IF(V30=1,"",IF(INDEX($B$6:$M$17,($Q$3-1-0)*$Q$4+X30+1,0*$Q$5+W30+1)="","",IF(INDEX($B$6:$M$17,($Q$3-1-0)*$Q$4+X30+1,0*$Q$5+W30+1)&gt;=0,TEXT(INDEX($B$6:$M$17,($Q$3-1-0)*$Q$4+X30+1,0*$Q$5+W30+1),"+0;-0;0"),"")))</f>
        <v/>
      </c>
      <c r="AS30" t="str">
        <f>IF(V30=1,"",IF(INDEX($B$6:$M$17,($Q$3-1-0)*$Q$4+X30+1,0*$Q$5+W30+1)="","",IF(INDEX($B$6:$M$17,($Q$3-1-0)*$Q$4+X30+1,0*$Q$5+W30+1)&lt;0,TEXT(INDEX($B$6:$M$17,($Q$3-1-0)*$Q$4+X30+1,0*$Q$5+W30+1),"+0;-0;0"),"")))</f>
        <v>-14</v>
      </c>
      <c r="AT30" t="str">
        <f>IF(V30=1,"",IF(INDEX($B$6:$M$17,($Q$3-1-1)*$Q$4+X30+1,0*$Q$5+W30+1)="","",IF(INDEX($B$6:$M$17,($Q$3-1-1)*$Q$4+X30+1,0*$Q$5+W30+1)&gt;=0,TEXT(INDEX($B$6:$M$17,($Q$3-1-1)*$Q$4+X30+1,0*$Q$5+W30+1),"+0;-0;0"),"")))</f>
        <v>+5</v>
      </c>
      <c r="AU30" t="str">
        <f>IF(V30=1,"",IF(INDEX($B$6:$M$17,($Q$3-1-1)*$Q$4+X30+1,0*$Q$5+W30+1)="","",IF(INDEX($B$6:$M$17,($Q$3-1-1)*$Q$4+X30+1,0*$Q$5+W30+1)&lt;0,TEXT(INDEX($B$6:$M$17,($Q$3-1-1)*$Q$4+X30+1,0*$Q$5+W30+1),"+0;-0;0"),"")))</f>
        <v/>
      </c>
      <c r="AV30" t="str">
        <f>IF(V30=1,"",IF(INDEX($B$6:$M$17,($Q$3-1-2)*$Q$4+X30+1,0*$Q$5+W30+1)="","",IF(INDEX($B$6:$M$17,($Q$3-1-2)*$Q$4+X30+1,0*$Q$5+W30+1)&gt;=0,TEXT(INDEX($B$6:$M$17,($Q$3-1-2)*$Q$4+X30+1,0*$Q$5+W30+1),"+0;-0;0"),"")))</f>
        <v/>
      </c>
      <c r="AW30" t="str">
        <f>IF(V30=1,"",IF(INDEX($B$6:$M$17,($Q$3-1-2)*$Q$4+X30+1,0*$Q$5+W30+1)="","",IF(INDEX($B$6:$M$17,($Q$3-1-2)*$Q$4+X30+1,0*$Q$5+W30+1)&lt;0,TEXT(INDEX($B$6:$M$17,($Q$3-1-2)*$Q$4+X30+1,0*$Q$5+W30+1),"+0;-0;0"),"")))</f>
        <v>-9</v>
      </c>
      <c r="AX30" t="str">
        <f>IF(V30=1,"",IF(INDEX($B$6:$M$17,($Q$3-1-3)*$Q$4+X30+1,0*$Q$5+W30+1)="","",IF(INDEX($B$6:$M$17,($Q$3-1-3)*$Q$4+X30+1,0*$Q$5+W30+1)&gt;=0,TEXT(INDEX($B$6:$M$17,($Q$3-1-3)*$Q$4+X30+1,0*$Q$5+W30+1),"+0;-0;0"),"")))</f>
        <v>+10</v>
      </c>
      <c r="AY30" t="str">
        <f>IF(V30=1,"",IF(INDEX($B$6:$M$17,($Q$3-1-3)*$Q$4+X30+1,0*$Q$5+W30+1)="","",IF(INDEX($B$6:$M$17,($Q$3-1-3)*$Q$4+X30+1,0*$Q$5+W30+1)&lt;0,TEXT(INDEX($B$6:$M$17,($Q$3-1-3)*$Q$4+X30+1,0*$Q$5+W30+1),"+0;-0;0"),"")))</f>
        <v/>
      </c>
      <c r="BD30">
        <v>0.5</v>
      </c>
      <c r="BE30">
        <v>2.91</v>
      </c>
      <c r="BG30">
        <v>29.5</v>
      </c>
      <c r="BH30">
        <f>IF(OR($Q$17&gt;0,$Q$18&lt;0),NA(),0+$Q$20)</f>
        <v>0.41</v>
      </c>
      <c r="BJ30">
        <v>4</v>
      </c>
      <c r="BK30">
        <f>1+$Q$13+0.03</f>
        <v>1.8499999999999999</v>
      </c>
      <c r="BL30" t="str">
        <f>Pin!$A$12</f>
        <v>Business partner 07</v>
      </c>
      <c r="BN30">
        <v>3.35</v>
      </c>
      <c r="BO30">
        <f>2+0*$Q$13</f>
        <v>2</v>
      </c>
      <c r="BP30" t="str">
        <f>TEXT($Q$17+($Q$18-$Q$17)*0,"#,##0")</f>
        <v>-30</v>
      </c>
    </row>
    <row r="31" spans="1:73" x14ac:dyDescent="0.35">
      <c r="P31">
        <v>8</v>
      </c>
      <c r="Q31">
        <f>P31-$Q$12</f>
        <v>5</v>
      </c>
      <c r="R31">
        <f>IF(Q31&lt;=0,-1,INT((Q31-1)/($Q$10+$Q$11)))</f>
        <v>0</v>
      </c>
      <c r="S31">
        <f>IF(Q31&lt;=0,-1,MOD(Q31-1,($Q$10+$Q$11)))</f>
        <v>4</v>
      </c>
      <c r="T31">
        <f>IF(OR(S31&lt;0,S31&gt;=$Q$10),-1,INT(S31/$Q$9))</f>
        <v>4</v>
      </c>
      <c r="U31">
        <f>IF(OR(S31&lt;0,S31&gt;=$Q$10),-1,MOD(S31,$Q$9))</f>
        <v>0</v>
      </c>
      <c r="V31">
        <f>IF(OR(Q31&lt;=0,S31&lt;0,S31&gt;=$Q$10,R31&gt;=$Q$7),1,0)</f>
        <v>0</v>
      </c>
      <c r="W31">
        <f>IF(V31=1,-1,T31)</f>
        <v>4</v>
      </c>
      <c r="X31">
        <f>IF(V31=1,-1,R31)</f>
        <v>0</v>
      </c>
      <c r="Y31" t="str">
        <f>IF(V31=1,"",IF(AND(MOD(W31,3)=0,U31=INT(($Q$9-1)/2)),INDEX($B$5:$M$5,W31+1),""))</f>
        <v/>
      </c>
      <c r="Z31">
        <f>IF(V31=1,NA(),IF(INDEX($B$6:$M$17,($Q$3-1-0)*$Q$4+X31+1,0*$Q$5+W31+1)="",NA(),IF(INDEX($B$6:$M$17,($Q$3-1-0)*$Q$4+X31+1,0*$Q$5+W31+1)&gt;=0,0+(INDEX($B$6:$M$17,($Q$3-1-0)*$Q$4+X31+1,0*$Q$5+W31+1)-$Q$17)/$Q$19*$Q$13,NA())))</f>
        <v>0.43049999999999999</v>
      </c>
      <c r="AA31" t="e">
        <f>IF(V31=1,NA(),IF(INDEX($B$6:$M$17,($Q$3-1-0)*$Q$4+X31+1,0*$Q$5+W31+1)="",NA(),IF(INDEX($B$6:$M$17,($Q$3-1-0)*$Q$4+X31+1,0*$Q$5+W31+1)&lt;0,0+(INDEX($B$6:$M$17,($Q$3-1-0)*$Q$4+X31+1,0*$Q$5+W31+1)-$Q$17)/$Q$19*$Q$13,NA())))</f>
        <v>#N/A</v>
      </c>
      <c r="AB31">
        <f>IF(V31=1,NA(),IF(INDEX($B$6:$M$17,($Q$3-1-1)*$Q$4+X31+1,0*$Q$5+W31+1)="",NA(),IF(INDEX($B$6:$M$17,($Q$3-1-1)*$Q$4+X31+1,0*$Q$5+W31+1)&gt;=0,1+(INDEX($B$6:$M$17,($Q$3-1-1)*$Q$4+X31+1,0*$Q$5+W31+1)-$Q$17)/$Q$19*$Q$13,NA())))</f>
        <v>1.6833333333333333</v>
      </c>
      <c r="AC31" t="e">
        <f>IF(V31=1,NA(),IF(INDEX($B$6:$M$17,($Q$3-1-1)*$Q$4+X31+1,0*$Q$5+W31+1)="",NA(),IF(INDEX($B$6:$M$17,($Q$3-1-1)*$Q$4+X31+1,0*$Q$5+W31+1)&lt;0,1+(INDEX($B$6:$M$17,($Q$3-1-1)*$Q$4+X31+1,0*$Q$5+W31+1)-$Q$17)/$Q$19*$Q$13,NA())))</f>
        <v>#N/A</v>
      </c>
      <c r="AD31" t="e">
        <f>IF(V31=1,NA(),IF(INDEX($B$6:$M$17,($Q$3-1-2)*$Q$4+X31+1,0*$Q$5+W31+1)="",NA(),IF(INDEX($B$6:$M$17,($Q$3-1-2)*$Q$4+X31+1,0*$Q$5+W31+1)&gt;=0,2+(INDEX($B$6:$M$17,($Q$3-1-2)*$Q$4+X31+1,0*$Q$5+W31+1)-$Q$17)/$Q$19*$Q$13,NA())))</f>
        <v>#N/A</v>
      </c>
      <c r="AE31">
        <f>IF(V31=1,NA(),IF(INDEX($B$6:$M$17,($Q$3-1-2)*$Q$4+X31+1,0*$Q$5+W31+1)="",NA(),IF(INDEX($B$6:$M$17,($Q$3-1-2)*$Q$4+X31+1,0*$Q$5+W31+1)&lt;0,2+(INDEX($B$6:$M$17,($Q$3-1-2)*$Q$4+X31+1,0*$Q$5+W31+1)-$Q$17)/$Q$19*$Q$13,NA())))</f>
        <v>2.0409999999999999</v>
      </c>
      <c r="AF31" t="e">
        <f>IF(V31=1,NA(),IF(INDEX($B$6:$M$17,($Q$3-1-3)*$Q$4+X31+1,0*$Q$5+W31+1)="",NA(),IF(INDEX($B$6:$M$17,($Q$3-1-3)*$Q$4+X31+1,0*$Q$5+W31+1)&gt;=0,3+(INDEX($B$6:$M$17,($Q$3-1-3)*$Q$4+X31+1,0*$Q$5+W31+1)-$Q$17)/$Q$19*$Q$13,NA())))</f>
        <v>#N/A</v>
      </c>
      <c r="AG31">
        <f>IF(V31=1,NA(),IF(INDEX($B$6:$M$17,($Q$3-1-3)*$Q$4+X31+1,0*$Q$5+W31+1)="",NA(),IF(INDEX($B$6:$M$17,($Q$3-1-3)*$Q$4+X31+1,0*$Q$5+W31+1)&lt;0,3+(INDEX($B$6:$M$17,($Q$3-1-3)*$Q$4+X31+1,0*$Q$5+W31+1)-$Q$17)/$Q$19*$Q$13,NA())))</f>
        <v>3.2938333333333332</v>
      </c>
      <c r="AI31">
        <f>IF(V31=1,0,IF(INDEX($B$6:$M$17,($Q$3-1-0)*$Q$4+X31+1,0*$Q$5+W31+1)="",0,IF(INDEX($B$6:$M$17,($Q$3-1-0)*$Q$4+X31+1,0*$Q$5+W31+1)&gt;=0,ABS(INDEX($B$6:$M$17,($Q$3-1-0)*$Q$4+X31+1,0*$Q$5+W31+1))/$Q$19*$Q$13,0)))</f>
        <v>2.0500000000000001E-2</v>
      </c>
      <c r="AJ31">
        <f>IF(V31=1,0,IF(INDEX($B$6:$M$17,($Q$3-1-0)*$Q$4+X31+1,0*$Q$5+W31+1)="",0,IF(INDEX($B$6:$M$17,($Q$3-1-0)*$Q$4+X31+1,0*$Q$5+W31+1)&lt;0,ABS(INDEX($B$6:$M$17,($Q$3-1-0)*$Q$4+X31+1,0*$Q$5+W31+1))/$Q$19*$Q$13,0)))</f>
        <v>0</v>
      </c>
      <c r="AK31">
        <f>IF(V31=1,0,IF(INDEX($B$6:$M$17,($Q$3-1-1)*$Q$4+X31+1,0*$Q$5+W31+1)="",0,IF(INDEX($B$6:$M$17,($Q$3-1-1)*$Q$4+X31+1,0*$Q$5+W31+1)&gt;=0,ABS(INDEX($B$6:$M$17,($Q$3-1-1)*$Q$4+X31+1,0*$Q$5+W31+1))/$Q$19*$Q$13,0)))</f>
        <v>0.27333333333333332</v>
      </c>
      <c r="AL31">
        <f>IF(V31=1,0,IF(INDEX($B$6:$M$17,($Q$3-1-1)*$Q$4+X31+1,0*$Q$5+W31+1)="",0,IF(INDEX($B$6:$M$17,($Q$3-1-1)*$Q$4+X31+1,0*$Q$5+W31+1)&lt;0,ABS(INDEX($B$6:$M$17,($Q$3-1-1)*$Q$4+X31+1,0*$Q$5+W31+1))/$Q$19*$Q$13,0)))</f>
        <v>0</v>
      </c>
      <c r="AM31">
        <f>IF(V31=1,0,IF(INDEX($B$6:$M$17,($Q$3-1-2)*$Q$4+X31+1,0*$Q$5+W31+1)="",0,IF(INDEX($B$6:$M$17,($Q$3-1-2)*$Q$4+X31+1,0*$Q$5+W31+1)&gt;=0,ABS(INDEX($B$6:$M$17,($Q$3-1-2)*$Q$4+X31+1,0*$Q$5+W31+1))/$Q$19*$Q$13,0)))</f>
        <v>0</v>
      </c>
      <c r="AN31">
        <f>IF(V31=1,0,IF(INDEX($B$6:$M$17,($Q$3-1-2)*$Q$4+X31+1,0*$Q$5+W31+1)="",0,IF(INDEX($B$6:$M$17,($Q$3-1-2)*$Q$4+X31+1,0*$Q$5+W31+1)&lt;0,ABS(INDEX($B$6:$M$17,($Q$3-1-2)*$Q$4+X31+1,0*$Q$5+W31+1))/$Q$19*$Q$13,0)))</f>
        <v>0.36899999999999999</v>
      </c>
      <c r="AO31">
        <f>IF(V31=1,0,IF(INDEX($B$6:$M$17,($Q$3-1-3)*$Q$4+X31+1,0*$Q$5+W31+1)="",0,IF(INDEX($B$6:$M$17,($Q$3-1-3)*$Q$4+X31+1,0*$Q$5+W31+1)&gt;=0,ABS(INDEX($B$6:$M$17,($Q$3-1-3)*$Q$4+X31+1,0*$Q$5+W31+1))/$Q$19*$Q$13,0)))</f>
        <v>0</v>
      </c>
      <c r="AP31">
        <f>IF(V31=1,0,IF(INDEX($B$6:$M$17,($Q$3-1-3)*$Q$4+X31+1,0*$Q$5+W31+1)="",0,IF(INDEX($B$6:$M$17,($Q$3-1-3)*$Q$4+X31+1,0*$Q$5+W31+1)&lt;0,ABS(INDEX($B$6:$M$17,($Q$3-1-3)*$Q$4+X31+1,0*$Q$5+W31+1))/$Q$19*$Q$13,0)))</f>
        <v>0.11616666666666665</v>
      </c>
      <c r="AR31" t="str">
        <f>IF(V31=1,"",IF(INDEX($B$6:$M$17,($Q$3-1-0)*$Q$4+X31+1,0*$Q$5+W31+1)="","",IF(INDEX($B$6:$M$17,($Q$3-1-0)*$Q$4+X31+1,0*$Q$5+W31+1)&gt;=0,TEXT(INDEX($B$6:$M$17,($Q$3-1-0)*$Q$4+X31+1,0*$Q$5+W31+1),"+0;-0;0"),"")))</f>
        <v>+2</v>
      </c>
      <c r="AS31" t="str">
        <f>IF(V31=1,"",IF(INDEX($B$6:$M$17,($Q$3-1-0)*$Q$4+X31+1,0*$Q$5+W31+1)="","",IF(INDEX($B$6:$M$17,($Q$3-1-0)*$Q$4+X31+1,0*$Q$5+W31+1)&lt;0,TEXT(INDEX($B$6:$M$17,($Q$3-1-0)*$Q$4+X31+1,0*$Q$5+W31+1),"+0;-0;0"),"")))</f>
        <v/>
      </c>
      <c r="AT31" t="str">
        <f>IF(V31=1,"",IF(INDEX($B$6:$M$17,($Q$3-1-1)*$Q$4+X31+1,0*$Q$5+W31+1)="","",IF(INDEX($B$6:$M$17,($Q$3-1-1)*$Q$4+X31+1,0*$Q$5+W31+1)&gt;=0,TEXT(INDEX($B$6:$M$17,($Q$3-1-1)*$Q$4+X31+1,0*$Q$5+W31+1),"+0;-0;0"),"")))</f>
        <v>+20</v>
      </c>
      <c r="AU31" t="str">
        <f>IF(V31=1,"",IF(INDEX($B$6:$M$17,($Q$3-1-1)*$Q$4+X31+1,0*$Q$5+W31+1)="","",IF(INDEX($B$6:$M$17,($Q$3-1-1)*$Q$4+X31+1,0*$Q$5+W31+1)&lt;0,TEXT(INDEX($B$6:$M$17,($Q$3-1-1)*$Q$4+X31+1,0*$Q$5+W31+1),"+0;-0;0"),"")))</f>
        <v/>
      </c>
      <c r="AV31" t="str">
        <f>IF(V31=1,"",IF(INDEX($B$6:$M$17,($Q$3-1-2)*$Q$4+X31+1,0*$Q$5+W31+1)="","",IF(INDEX($B$6:$M$17,($Q$3-1-2)*$Q$4+X31+1,0*$Q$5+W31+1)&gt;=0,TEXT(INDEX($B$6:$M$17,($Q$3-1-2)*$Q$4+X31+1,0*$Q$5+W31+1),"+0;-0;0"),"")))</f>
        <v/>
      </c>
      <c r="AW31" t="str">
        <f>IF(V31=1,"",IF(INDEX($B$6:$M$17,($Q$3-1-2)*$Q$4+X31+1,0*$Q$5+W31+1)="","",IF(INDEX($B$6:$M$17,($Q$3-1-2)*$Q$4+X31+1,0*$Q$5+W31+1)&lt;0,TEXT(INDEX($B$6:$M$17,($Q$3-1-2)*$Q$4+X31+1,0*$Q$5+W31+1),"+0;-0;0"),"")))</f>
        <v>-27</v>
      </c>
      <c r="AX31" t="str">
        <f>IF(V31=1,"",IF(INDEX($B$6:$M$17,($Q$3-1-3)*$Q$4+X31+1,0*$Q$5+W31+1)="","",IF(INDEX($B$6:$M$17,($Q$3-1-3)*$Q$4+X31+1,0*$Q$5+W31+1)&gt;=0,TEXT(INDEX($B$6:$M$17,($Q$3-1-3)*$Q$4+X31+1,0*$Q$5+W31+1),"+0;-0;0"),"")))</f>
        <v/>
      </c>
      <c r="AY31" t="str">
        <f>IF(V31=1,"",IF(INDEX($B$6:$M$17,($Q$3-1-3)*$Q$4+X31+1,0*$Q$5+W31+1)="","",IF(INDEX($B$6:$M$17,($Q$3-1-3)*$Q$4+X31+1,0*$Q$5+W31+1)&lt;0,TEXT(INDEX($B$6:$M$17,($Q$3-1-3)*$Q$4+X31+1,0*$Q$5+W31+1),"+0;-0;0"),"")))</f>
        <v>-9</v>
      </c>
      <c r="BD31">
        <v>41.5</v>
      </c>
      <c r="BE31">
        <v>2.91</v>
      </c>
      <c r="BG31">
        <v>41.5</v>
      </c>
      <c r="BH31">
        <f>IF(OR($Q$17&gt;0,$Q$18&lt;0),NA(),0+$Q$20)</f>
        <v>0.41</v>
      </c>
      <c r="BJ31">
        <v>17</v>
      </c>
      <c r="BK31">
        <f>1+$Q$13+0.03</f>
        <v>1.8499999999999999</v>
      </c>
      <c r="BL31" t="str">
        <f>Pin!$A$13</f>
        <v>Business partner 08</v>
      </c>
      <c r="BN31">
        <v>3.35</v>
      </c>
      <c r="BO31">
        <f>2+0.5*$Q$13</f>
        <v>2.41</v>
      </c>
      <c r="BP31" t="str">
        <f>TEXT($Q$17+($Q$18-$Q$17)*0.5,"#,##0")</f>
        <v>0</v>
      </c>
    </row>
    <row r="32" spans="1:73" x14ac:dyDescent="0.35">
      <c r="P32">
        <v>9</v>
      </c>
      <c r="Q32">
        <f>P32-$Q$12</f>
        <v>6</v>
      </c>
      <c r="R32">
        <f>IF(Q32&lt;=0,-1,INT((Q32-1)/($Q$10+$Q$11)))</f>
        <v>0</v>
      </c>
      <c r="S32">
        <f>IF(Q32&lt;=0,-1,MOD(Q32-1,($Q$10+$Q$11)))</f>
        <v>5</v>
      </c>
      <c r="T32">
        <f>IF(OR(S32&lt;0,S32&gt;=$Q$10),-1,INT(S32/$Q$9))</f>
        <v>5</v>
      </c>
      <c r="U32">
        <f>IF(OR(S32&lt;0,S32&gt;=$Q$10),-1,MOD(S32,$Q$9))</f>
        <v>0</v>
      </c>
      <c r="V32">
        <f>IF(OR(Q32&lt;=0,S32&lt;0,S32&gt;=$Q$10,R32&gt;=$Q$7),1,0)</f>
        <v>0</v>
      </c>
      <c r="W32">
        <f>IF(V32=1,-1,T32)</f>
        <v>5</v>
      </c>
      <c r="X32">
        <f>IF(V32=1,-1,R32)</f>
        <v>0</v>
      </c>
      <c r="Y32" t="str">
        <f>IF(V32=1,"",IF(AND(MOD(W32,3)=0,U32=INT(($Q$9-1)/2)),INDEX($B$5:$M$5,W32+1),""))</f>
        <v/>
      </c>
      <c r="Z32" t="e">
        <f>IF(V32=1,NA(),IF(INDEX($B$6:$M$17,($Q$3-1-0)*$Q$4+X32+1,0*$Q$5+W32+1)="",NA(),IF(INDEX($B$6:$M$17,($Q$3-1-0)*$Q$4+X32+1,0*$Q$5+W32+1)&gt;=0,0+(INDEX($B$6:$M$17,($Q$3-1-0)*$Q$4+X32+1,0*$Q$5+W32+1)-$Q$17)/$Q$19*$Q$13,NA())))</f>
        <v>#N/A</v>
      </c>
      <c r="AA32">
        <f>IF(V32=1,NA(),IF(INDEX($B$6:$M$17,($Q$3-1-0)*$Q$4+X32+1,0*$Q$5+W32+1)="",NA(),IF(INDEX($B$6:$M$17,($Q$3-1-0)*$Q$4+X32+1,0*$Q$5+W32+1)&lt;0,0+(INDEX($B$6:$M$17,($Q$3-1-0)*$Q$4+X32+1,0*$Q$5+W32+1)-$Q$17)/$Q$19*$Q$13,NA())))</f>
        <v>0.1845</v>
      </c>
      <c r="AB32">
        <f>IF(V32=1,NA(),IF(INDEX($B$6:$M$17,($Q$3-1-1)*$Q$4+X32+1,0*$Q$5+W32+1)="",NA(),IF(INDEX($B$6:$M$17,($Q$3-1-1)*$Q$4+X32+1,0*$Q$5+W32+1)&gt;=0,1+(INDEX($B$6:$M$17,($Q$3-1-1)*$Q$4+X32+1,0*$Q$5+W32+1)-$Q$17)/$Q$19*$Q$13,NA())))</f>
        <v>1.4373333333333334</v>
      </c>
      <c r="AC32" t="e">
        <f>IF(V32=1,NA(),IF(INDEX($B$6:$M$17,($Q$3-1-1)*$Q$4+X32+1,0*$Q$5+W32+1)="",NA(),IF(INDEX($B$6:$M$17,($Q$3-1-1)*$Q$4+X32+1,0*$Q$5+W32+1)&lt;0,1+(INDEX($B$6:$M$17,($Q$3-1-1)*$Q$4+X32+1,0*$Q$5+W32+1)-$Q$17)/$Q$19*$Q$13,NA())))</f>
        <v>#N/A</v>
      </c>
      <c r="AD32" t="e">
        <f>IF(V32=1,NA(),IF(INDEX($B$6:$M$17,($Q$3-1-2)*$Q$4+X32+1,0*$Q$5+W32+1)="",NA(),IF(INDEX($B$6:$M$17,($Q$3-1-2)*$Q$4+X32+1,0*$Q$5+W32+1)&gt;=0,2+(INDEX($B$6:$M$17,($Q$3-1-2)*$Q$4+X32+1,0*$Q$5+W32+1)-$Q$17)/$Q$19*$Q$13,NA())))</f>
        <v>#N/A</v>
      </c>
      <c r="AE32">
        <f>IF(V32=1,NA(),IF(INDEX($B$6:$M$17,($Q$3-1-2)*$Q$4+X32+1,0*$Q$5+W32+1)="",NA(),IF(INDEX($B$6:$M$17,($Q$3-1-2)*$Q$4+X32+1,0*$Q$5+W32+1)&lt;0,2+(INDEX($B$6:$M$17,($Q$3-1-2)*$Q$4+X32+1,0*$Q$5+W32+1)-$Q$17)/$Q$19*$Q$13,NA())))</f>
        <v>2.246</v>
      </c>
      <c r="AF32">
        <f>IF(V32=1,NA(),IF(INDEX($B$6:$M$17,($Q$3-1-3)*$Q$4+X32+1,0*$Q$5+W32+1)="",NA(),IF(INDEX($B$6:$M$17,($Q$3-1-3)*$Q$4+X32+1,0*$Q$5+W32+1)&gt;=0,3+(INDEX($B$6:$M$17,($Q$3-1-3)*$Q$4+X32+1,0*$Q$5+W32+1)-$Q$17)/$Q$19*$Q$13,NA())))</f>
        <v>3.4988333333333332</v>
      </c>
      <c r="AG32" t="e">
        <f>IF(V32=1,NA(),IF(INDEX($B$6:$M$17,($Q$3-1-3)*$Q$4+X32+1,0*$Q$5+W32+1)="",NA(),IF(INDEX($B$6:$M$17,($Q$3-1-3)*$Q$4+X32+1,0*$Q$5+W32+1)&lt;0,3+(INDEX($B$6:$M$17,($Q$3-1-3)*$Q$4+X32+1,0*$Q$5+W32+1)-$Q$17)/$Q$19*$Q$13,NA())))</f>
        <v>#N/A</v>
      </c>
      <c r="AI32">
        <f>IF(V32=1,0,IF(INDEX($B$6:$M$17,($Q$3-1-0)*$Q$4+X32+1,0*$Q$5+W32+1)="",0,IF(INDEX($B$6:$M$17,($Q$3-1-0)*$Q$4+X32+1,0*$Q$5+W32+1)&gt;=0,ABS(INDEX($B$6:$M$17,($Q$3-1-0)*$Q$4+X32+1,0*$Q$5+W32+1))/$Q$19*$Q$13,0)))</f>
        <v>0</v>
      </c>
      <c r="AJ32">
        <f>IF(V32=1,0,IF(INDEX($B$6:$M$17,($Q$3-1-0)*$Q$4+X32+1,0*$Q$5+W32+1)="",0,IF(INDEX($B$6:$M$17,($Q$3-1-0)*$Q$4+X32+1,0*$Q$5+W32+1)&lt;0,ABS(INDEX($B$6:$M$17,($Q$3-1-0)*$Q$4+X32+1,0*$Q$5+W32+1))/$Q$19*$Q$13,0)))</f>
        <v>0.22550000000000001</v>
      </c>
      <c r="AK32">
        <f>IF(V32=1,0,IF(INDEX($B$6:$M$17,($Q$3-1-1)*$Q$4+X32+1,0*$Q$5+W32+1)="",0,IF(INDEX($B$6:$M$17,($Q$3-1-1)*$Q$4+X32+1,0*$Q$5+W32+1)&gt;=0,ABS(INDEX($B$6:$M$17,($Q$3-1-1)*$Q$4+X32+1,0*$Q$5+W32+1))/$Q$19*$Q$13,0)))</f>
        <v>2.7333333333333331E-2</v>
      </c>
      <c r="AL32">
        <f>IF(V32=1,0,IF(INDEX($B$6:$M$17,($Q$3-1-1)*$Q$4+X32+1,0*$Q$5+W32+1)="",0,IF(INDEX($B$6:$M$17,($Q$3-1-1)*$Q$4+X32+1,0*$Q$5+W32+1)&lt;0,ABS(INDEX($B$6:$M$17,($Q$3-1-1)*$Q$4+X32+1,0*$Q$5+W32+1))/$Q$19*$Q$13,0)))</f>
        <v>0</v>
      </c>
      <c r="AM32">
        <f>IF(V32=1,0,IF(INDEX($B$6:$M$17,($Q$3-1-2)*$Q$4+X32+1,0*$Q$5+W32+1)="",0,IF(INDEX($B$6:$M$17,($Q$3-1-2)*$Q$4+X32+1,0*$Q$5+W32+1)&gt;=0,ABS(INDEX($B$6:$M$17,($Q$3-1-2)*$Q$4+X32+1,0*$Q$5+W32+1))/$Q$19*$Q$13,0)))</f>
        <v>0</v>
      </c>
      <c r="AN32">
        <f>IF(V32=1,0,IF(INDEX($B$6:$M$17,($Q$3-1-2)*$Q$4+X32+1,0*$Q$5+W32+1)="",0,IF(INDEX($B$6:$M$17,($Q$3-1-2)*$Q$4+X32+1,0*$Q$5+W32+1)&lt;0,ABS(INDEX($B$6:$M$17,($Q$3-1-2)*$Q$4+X32+1,0*$Q$5+W32+1))/$Q$19*$Q$13,0)))</f>
        <v>0.16400000000000001</v>
      </c>
      <c r="AO32">
        <f>IF(V32=1,0,IF(INDEX($B$6:$M$17,($Q$3-1-3)*$Q$4+X32+1,0*$Q$5+W32+1)="",0,IF(INDEX($B$6:$M$17,($Q$3-1-3)*$Q$4+X32+1,0*$Q$5+W32+1)&gt;=0,ABS(INDEX($B$6:$M$17,($Q$3-1-3)*$Q$4+X32+1,0*$Q$5+W32+1))/$Q$19*$Q$13,0)))</f>
        <v>8.8833333333333334E-2</v>
      </c>
      <c r="AP32">
        <f>IF(V32=1,0,IF(INDEX($B$6:$M$17,($Q$3-1-3)*$Q$4+X32+1,0*$Q$5+W32+1)="",0,IF(INDEX($B$6:$M$17,($Q$3-1-3)*$Q$4+X32+1,0*$Q$5+W32+1)&lt;0,ABS(INDEX($B$6:$M$17,($Q$3-1-3)*$Q$4+X32+1,0*$Q$5+W32+1))/$Q$19*$Q$13,0)))</f>
        <v>0</v>
      </c>
      <c r="AR32" t="str">
        <f>IF(V32=1,"",IF(INDEX($B$6:$M$17,($Q$3-1-0)*$Q$4+X32+1,0*$Q$5+W32+1)="","",IF(INDEX($B$6:$M$17,($Q$3-1-0)*$Q$4+X32+1,0*$Q$5+W32+1)&gt;=0,TEXT(INDEX($B$6:$M$17,($Q$3-1-0)*$Q$4+X32+1,0*$Q$5+W32+1),"+0;-0;0"),"")))</f>
        <v/>
      </c>
      <c r="AS32" t="str">
        <f>IF(V32=1,"",IF(INDEX($B$6:$M$17,($Q$3-1-0)*$Q$4+X32+1,0*$Q$5+W32+1)="","",IF(INDEX($B$6:$M$17,($Q$3-1-0)*$Q$4+X32+1,0*$Q$5+W32+1)&lt;0,TEXT(INDEX($B$6:$M$17,($Q$3-1-0)*$Q$4+X32+1,0*$Q$5+W32+1),"+0;-0;0"),"")))</f>
        <v>-17</v>
      </c>
      <c r="AT32" t="str">
        <f>IF(V32=1,"",IF(INDEX($B$6:$M$17,($Q$3-1-1)*$Q$4+X32+1,0*$Q$5+W32+1)="","",IF(INDEX($B$6:$M$17,($Q$3-1-1)*$Q$4+X32+1,0*$Q$5+W32+1)&gt;=0,TEXT(INDEX($B$6:$M$17,($Q$3-1-1)*$Q$4+X32+1,0*$Q$5+W32+1),"+0;-0;0"),"")))</f>
        <v>+2</v>
      </c>
      <c r="AU32" t="str">
        <f>IF(V32=1,"",IF(INDEX($B$6:$M$17,($Q$3-1-1)*$Q$4+X32+1,0*$Q$5+W32+1)="","",IF(INDEX($B$6:$M$17,($Q$3-1-1)*$Q$4+X32+1,0*$Q$5+W32+1)&lt;0,TEXT(INDEX($B$6:$M$17,($Q$3-1-1)*$Q$4+X32+1,0*$Q$5+W32+1),"+0;-0;0"),"")))</f>
        <v/>
      </c>
      <c r="AV32" t="str">
        <f>IF(V32=1,"",IF(INDEX($B$6:$M$17,($Q$3-1-2)*$Q$4+X32+1,0*$Q$5+W32+1)="","",IF(INDEX($B$6:$M$17,($Q$3-1-2)*$Q$4+X32+1,0*$Q$5+W32+1)&gt;=0,TEXT(INDEX($B$6:$M$17,($Q$3-1-2)*$Q$4+X32+1,0*$Q$5+W32+1),"+0;-0;0"),"")))</f>
        <v/>
      </c>
      <c r="AW32" t="str">
        <f>IF(V32=1,"",IF(INDEX($B$6:$M$17,($Q$3-1-2)*$Q$4+X32+1,0*$Q$5+W32+1)="","",IF(INDEX($B$6:$M$17,($Q$3-1-2)*$Q$4+X32+1,0*$Q$5+W32+1)&lt;0,TEXT(INDEX($B$6:$M$17,($Q$3-1-2)*$Q$4+X32+1,0*$Q$5+W32+1),"+0;-0;0"),"")))</f>
        <v>-12</v>
      </c>
      <c r="AX32" t="str">
        <f>IF(V32=1,"",IF(INDEX($B$6:$M$17,($Q$3-1-3)*$Q$4+X32+1,0*$Q$5+W32+1)="","",IF(INDEX($B$6:$M$17,($Q$3-1-3)*$Q$4+X32+1,0*$Q$5+W32+1)&gt;=0,TEXT(INDEX($B$6:$M$17,($Q$3-1-3)*$Q$4+X32+1,0*$Q$5+W32+1),"+0;-0;0"),"")))</f>
        <v>+7</v>
      </c>
      <c r="AY32" t="str">
        <f>IF(V32=1,"",IF(INDEX($B$6:$M$17,($Q$3-1-3)*$Q$4+X32+1,0*$Q$5+W32+1)="","",IF(INDEX($B$6:$M$17,($Q$3-1-3)*$Q$4+X32+1,0*$Q$5+W32+1)&lt;0,TEXT(INDEX($B$6:$M$17,($Q$3-1-3)*$Q$4+X32+1,0*$Q$5+W32+1),"+0;-0;0"),"")))</f>
        <v/>
      </c>
      <c r="BD32">
        <v>41.5</v>
      </c>
      <c r="BE32" t="e">
        <f>NA()</f>
        <v>#N/A</v>
      </c>
      <c r="BG32">
        <v>41.5</v>
      </c>
      <c r="BH32" t="e">
        <f>NA()</f>
        <v>#N/A</v>
      </c>
      <c r="BJ32">
        <v>30</v>
      </c>
      <c r="BK32">
        <f>1+$Q$13+0.03</f>
        <v>1.8499999999999999</v>
      </c>
      <c r="BL32" t="str">
        <f>Pin!$A$14</f>
        <v>Business partner 09</v>
      </c>
      <c r="BN32">
        <v>3.35</v>
      </c>
      <c r="BO32">
        <f>2+1*$Q$13</f>
        <v>2.82</v>
      </c>
      <c r="BP32" t="str">
        <f>TEXT($Q$17+($Q$18-$Q$17)*1,"#,##0")</f>
        <v>30</v>
      </c>
    </row>
    <row r="33" spans="16:68" x14ac:dyDescent="0.35">
      <c r="P33">
        <v>10</v>
      </c>
      <c r="Q33">
        <f>P33-$Q$12</f>
        <v>7</v>
      </c>
      <c r="R33">
        <f>IF(Q33&lt;=0,-1,INT((Q33-1)/($Q$10+$Q$11)))</f>
        <v>0</v>
      </c>
      <c r="S33">
        <f>IF(Q33&lt;=0,-1,MOD(Q33-1,($Q$10+$Q$11)))</f>
        <v>6</v>
      </c>
      <c r="T33">
        <f>IF(OR(S33&lt;0,S33&gt;=$Q$10),-1,INT(S33/$Q$9))</f>
        <v>6</v>
      </c>
      <c r="U33">
        <f>IF(OR(S33&lt;0,S33&gt;=$Q$10),-1,MOD(S33,$Q$9))</f>
        <v>0</v>
      </c>
      <c r="V33">
        <f>IF(OR(Q33&lt;=0,S33&lt;0,S33&gt;=$Q$10,R33&gt;=$Q$7),1,0)</f>
        <v>0</v>
      </c>
      <c r="W33">
        <f>IF(V33=1,-1,T33)</f>
        <v>6</v>
      </c>
      <c r="X33">
        <f>IF(V33=1,-1,R33)</f>
        <v>0</v>
      </c>
      <c r="Y33" t="str">
        <f>IF(V33=1,"",IF(AND(MOD(W33,3)=0,U33=INT(($Q$9-1)/2)),INDEX($B$5:$M$5,W33+1),""))</f>
        <v>Jul</v>
      </c>
      <c r="Z33" t="e">
        <f>IF(V33=1,NA(),IF(INDEX($B$6:$M$17,($Q$3-1-0)*$Q$4+X33+1,0*$Q$5+W33+1)="",NA(),IF(INDEX($B$6:$M$17,($Q$3-1-0)*$Q$4+X33+1,0*$Q$5+W33+1)&gt;=0,0+(INDEX($B$6:$M$17,($Q$3-1-0)*$Q$4+X33+1,0*$Q$5+W33+1)-$Q$17)/$Q$19*$Q$13,NA())))</f>
        <v>#N/A</v>
      </c>
      <c r="AA33">
        <f>IF(V33=1,NA(),IF(INDEX($B$6:$M$17,($Q$3-1-0)*$Q$4+X33+1,0*$Q$5+W33+1)="",NA(),IF(INDEX($B$6:$M$17,($Q$3-1-0)*$Q$4+X33+1,0*$Q$5+W33+1)&lt;0,0+(INDEX($B$6:$M$17,($Q$3-1-0)*$Q$4+X33+1,0*$Q$5+W33+1)-$Q$17)/$Q$19*$Q$13,NA())))</f>
        <v>0.38949999999999996</v>
      </c>
      <c r="AB33">
        <f>IF(V33=1,NA(),IF(INDEX($B$6:$M$17,($Q$3-1-1)*$Q$4+X33+1,0*$Q$5+W33+1)="",NA(),IF(INDEX($B$6:$M$17,($Q$3-1-1)*$Q$4+X33+1,0*$Q$5+W33+1)&gt;=0,1+(INDEX($B$6:$M$17,($Q$3-1-1)*$Q$4+X33+1,0*$Q$5+W33+1)-$Q$17)/$Q$19*$Q$13,NA())))</f>
        <v>1.6423333333333332</v>
      </c>
      <c r="AC33" t="e">
        <f>IF(V33=1,NA(),IF(INDEX($B$6:$M$17,($Q$3-1-1)*$Q$4+X33+1,0*$Q$5+W33+1)="",NA(),IF(INDEX($B$6:$M$17,($Q$3-1-1)*$Q$4+X33+1,0*$Q$5+W33+1)&lt;0,1+(INDEX($B$6:$M$17,($Q$3-1-1)*$Q$4+X33+1,0*$Q$5+W33+1)-$Q$17)/$Q$19*$Q$13,NA())))</f>
        <v>#N/A</v>
      </c>
      <c r="AD33" t="e">
        <f>IF(V33=1,NA(),IF(INDEX($B$6:$M$17,($Q$3-1-2)*$Q$4+X33+1,0*$Q$5+W33+1)="",NA(),IF(INDEX($B$6:$M$17,($Q$3-1-2)*$Q$4+X33+1,0*$Q$5+W33+1)&gt;=0,2+(INDEX($B$6:$M$17,($Q$3-1-2)*$Q$4+X33+1,0*$Q$5+W33+1)-$Q$17)/$Q$19*$Q$13,NA())))</f>
        <v>#N/A</v>
      </c>
      <c r="AE33">
        <f>IF(V33=1,NA(),IF(INDEX($B$6:$M$17,($Q$3-1-2)*$Q$4+X33+1,0*$Q$5+W33+1)="",NA(),IF(INDEX($B$6:$M$17,($Q$3-1-2)*$Q$4+X33+1,0*$Q$5+W33+1)&lt;0,2+(INDEX($B$6:$M$17,($Q$3-1-2)*$Q$4+X33+1,0*$Q$5+W33+1)-$Q$17)/$Q$19*$Q$13,NA())))</f>
        <v>2</v>
      </c>
      <c r="AF33" t="e">
        <f>IF(V33=1,NA(),IF(INDEX($B$6:$M$17,($Q$3-1-3)*$Q$4+X33+1,0*$Q$5+W33+1)="",NA(),IF(INDEX($B$6:$M$17,($Q$3-1-3)*$Q$4+X33+1,0*$Q$5+W33+1)&gt;=0,3+(INDEX($B$6:$M$17,($Q$3-1-3)*$Q$4+X33+1,0*$Q$5+W33+1)-$Q$17)/$Q$19*$Q$13,NA())))</f>
        <v>#N/A</v>
      </c>
      <c r="AG33">
        <f>IF(V33=1,NA(),IF(INDEX($B$6:$M$17,($Q$3-1-3)*$Q$4+X33+1,0*$Q$5+W33+1)="",NA(),IF(INDEX($B$6:$M$17,($Q$3-1-3)*$Q$4+X33+1,0*$Q$5+W33+1)&lt;0,3+(INDEX($B$6:$M$17,($Q$3-1-3)*$Q$4+X33+1,0*$Q$5+W33+1)-$Q$17)/$Q$19*$Q$13,NA())))</f>
        <v>3.2528333333333332</v>
      </c>
      <c r="AI33">
        <f>IF(V33=1,0,IF(INDEX($B$6:$M$17,($Q$3-1-0)*$Q$4+X33+1,0*$Q$5+W33+1)="",0,IF(INDEX($B$6:$M$17,($Q$3-1-0)*$Q$4+X33+1,0*$Q$5+W33+1)&gt;=0,ABS(INDEX($B$6:$M$17,($Q$3-1-0)*$Q$4+X33+1,0*$Q$5+W33+1))/$Q$19*$Q$13,0)))</f>
        <v>0</v>
      </c>
      <c r="AJ33">
        <f>IF(V33=1,0,IF(INDEX($B$6:$M$17,($Q$3-1-0)*$Q$4+X33+1,0*$Q$5+W33+1)="",0,IF(INDEX($B$6:$M$17,($Q$3-1-0)*$Q$4+X33+1,0*$Q$5+W33+1)&lt;0,ABS(INDEX($B$6:$M$17,($Q$3-1-0)*$Q$4+X33+1,0*$Q$5+W33+1))/$Q$19*$Q$13,0)))</f>
        <v>2.0500000000000001E-2</v>
      </c>
      <c r="AK33">
        <f>IF(V33=1,0,IF(INDEX($B$6:$M$17,($Q$3-1-1)*$Q$4+X33+1,0*$Q$5+W33+1)="",0,IF(INDEX($B$6:$M$17,($Q$3-1-1)*$Q$4+X33+1,0*$Q$5+W33+1)&gt;=0,ABS(INDEX($B$6:$M$17,($Q$3-1-1)*$Q$4+X33+1,0*$Q$5+W33+1))/$Q$19*$Q$13,0)))</f>
        <v>0.23233333333333331</v>
      </c>
      <c r="AL33">
        <f>IF(V33=1,0,IF(INDEX($B$6:$M$17,($Q$3-1-1)*$Q$4+X33+1,0*$Q$5+W33+1)="",0,IF(INDEX($B$6:$M$17,($Q$3-1-1)*$Q$4+X33+1,0*$Q$5+W33+1)&lt;0,ABS(INDEX($B$6:$M$17,($Q$3-1-1)*$Q$4+X33+1,0*$Q$5+W33+1))/$Q$19*$Q$13,0)))</f>
        <v>0</v>
      </c>
      <c r="AM33">
        <f>IF(V33=1,0,IF(INDEX($B$6:$M$17,($Q$3-1-2)*$Q$4+X33+1,0*$Q$5+W33+1)="",0,IF(INDEX($B$6:$M$17,($Q$3-1-2)*$Q$4+X33+1,0*$Q$5+W33+1)&gt;=0,ABS(INDEX($B$6:$M$17,($Q$3-1-2)*$Q$4+X33+1,0*$Q$5+W33+1))/$Q$19*$Q$13,0)))</f>
        <v>0</v>
      </c>
      <c r="AN33">
        <f>IF(V33=1,0,IF(INDEX($B$6:$M$17,($Q$3-1-2)*$Q$4+X33+1,0*$Q$5+W33+1)="",0,IF(INDEX($B$6:$M$17,($Q$3-1-2)*$Q$4+X33+1,0*$Q$5+W33+1)&lt;0,ABS(INDEX($B$6:$M$17,($Q$3-1-2)*$Q$4+X33+1,0*$Q$5+W33+1))/$Q$19*$Q$13,0)))</f>
        <v>0.41</v>
      </c>
      <c r="AO33">
        <f>IF(V33=1,0,IF(INDEX($B$6:$M$17,($Q$3-1-3)*$Q$4+X33+1,0*$Q$5+W33+1)="",0,IF(INDEX($B$6:$M$17,($Q$3-1-3)*$Q$4+X33+1,0*$Q$5+W33+1)&gt;=0,ABS(INDEX($B$6:$M$17,($Q$3-1-3)*$Q$4+X33+1,0*$Q$5+W33+1))/$Q$19*$Q$13,0)))</f>
        <v>0</v>
      </c>
      <c r="AP33">
        <f>IF(V33=1,0,IF(INDEX($B$6:$M$17,($Q$3-1-3)*$Q$4+X33+1,0*$Q$5+W33+1)="",0,IF(INDEX($B$6:$M$17,($Q$3-1-3)*$Q$4+X33+1,0*$Q$5+W33+1)&lt;0,ABS(INDEX($B$6:$M$17,($Q$3-1-3)*$Q$4+X33+1,0*$Q$5+W33+1))/$Q$19*$Q$13,0)))</f>
        <v>0.15716666666666668</v>
      </c>
      <c r="AR33" t="str">
        <f>IF(V33=1,"",IF(INDEX($B$6:$M$17,($Q$3-1-0)*$Q$4+X33+1,0*$Q$5+W33+1)="","",IF(INDEX($B$6:$M$17,($Q$3-1-0)*$Q$4+X33+1,0*$Q$5+W33+1)&gt;=0,TEXT(INDEX($B$6:$M$17,($Q$3-1-0)*$Q$4+X33+1,0*$Q$5+W33+1),"+0;-0;0"),"")))</f>
        <v/>
      </c>
      <c r="AS33" t="str">
        <f>IF(V33=1,"",IF(INDEX($B$6:$M$17,($Q$3-1-0)*$Q$4+X33+1,0*$Q$5+W33+1)="","",IF(INDEX($B$6:$M$17,($Q$3-1-0)*$Q$4+X33+1,0*$Q$5+W33+1)&lt;0,TEXT(INDEX($B$6:$M$17,($Q$3-1-0)*$Q$4+X33+1,0*$Q$5+W33+1),"+0;-0;0"),"")))</f>
        <v>-2</v>
      </c>
      <c r="AT33" t="str">
        <f>IF(V33=1,"",IF(INDEX($B$6:$M$17,($Q$3-1-1)*$Q$4+X33+1,0*$Q$5+W33+1)="","",IF(INDEX($B$6:$M$17,($Q$3-1-1)*$Q$4+X33+1,0*$Q$5+W33+1)&gt;=0,TEXT(INDEX($B$6:$M$17,($Q$3-1-1)*$Q$4+X33+1,0*$Q$5+W33+1),"+0;-0;0"),"")))</f>
        <v>+17</v>
      </c>
      <c r="AU33" t="str">
        <f>IF(V33=1,"",IF(INDEX($B$6:$M$17,($Q$3-1-1)*$Q$4+X33+1,0*$Q$5+W33+1)="","",IF(INDEX($B$6:$M$17,($Q$3-1-1)*$Q$4+X33+1,0*$Q$5+W33+1)&lt;0,TEXT(INDEX($B$6:$M$17,($Q$3-1-1)*$Q$4+X33+1,0*$Q$5+W33+1),"+0;-0;0"),"")))</f>
        <v/>
      </c>
      <c r="AV33" t="str">
        <f>IF(V33=1,"",IF(INDEX($B$6:$M$17,($Q$3-1-2)*$Q$4+X33+1,0*$Q$5+W33+1)="","",IF(INDEX($B$6:$M$17,($Q$3-1-2)*$Q$4+X33+1,0*$Q$5+W33+1)&gt;=0,TEXT(INDEX($B$6:$M$17,($Q$3-1-2)*$Q$4+X33+1,0*$Q$5+W33+1),"+0;-0;0"),"")))</f>
        <v/>
      </c>
      <c r="AW33" t="str">
        <f>IF(V33=1,"",IF(INDEX($B$6:$M$17,($Q$3-1-2)*$Q$4+X33+1,0*$Q$5+W33+1)="","",IF(INDEX($B$6:$M$17,($Q$3-1-2)*$Q$4+X33+1,0*$Q$5+W33+1)&lt;0,TEXT(INDEX($B$6:$M$17,($Q$3-1-2)*$Q$4+X33+1,0*$Q$5+W33+1),"+0;-0;0"),"")))</f>
        <v>-30</v>
      </c>
      <c r="AX33" t="str">
        <f>IF(V33=1,"",IF(INDEX($B$6:$M$17,($Q$3-1-3)*$Q$4+X33+1,0*$Q$5+W33+1)="","",IF(INDEX($B$6:$M$17,($Q$3-1-3)*$Q$4+X33+1,0*$Q$5+W33+1)&gt;=0,TEXT(INDEX($B$6:$M$17,($Q$3-1-3)*$Q$4+X33+1,0*$Q$5+W33+1),"+0;-0;0"),"")))</f>
        <v/>
      </c>
      <c r="AY33" t="str">
        <f>IF(V33=1,"",IF(INDEX($B$6:$M$17,($Q$3-1-3)*$Q$4+X33+1,0*$Q$5+W33+1)="","",IF(INDEX($B$6:$M$17,($Q$3-1-3)*$Q$4+X33+1,0*$Q$5+W33+1)&lt;0,TEXT(INDEX($B$6:$M$17,($Q$3-1-3)*$Q$4+X33+1,0*$Q$5+W33+1),"+0;-0;0"),"")))</f>
        <v>-12</v>
      </c>
      <c r="BG33">
        <v>3.5</v>
      </c>
      <c r="BH33">
        <f>IF(OR($Q$17&gt;0,$Q$18&lt;0),NA(),1+$Q$20)</f>
        <v>1.41</v>
      </c>
      <c r="BJ33">
        <v>4</v>
      </c>
      <c r="BK33">
        <f>0+$Q$13+0.03</f>
        <v>0.85</v>
      </c>
      <c r="BL33" t="str">
        <f>Pin!$A$15</f>
        <v>Business partner 10</v>
      </c>
      <c r="BN33">
        <v>3.35</v>
      </c>
      <c r="BO33">
        <f>3+0*$Q$13</f>
        <v>3</v>
      </c>
      <c r="BP33" t="str">
        <f>TEXT($Q$17+($Q$18-$Q$17)*0,"#,##0")</f>
        <v>-30</v>
      </c>
    </row>
    <row r="34" spans="16:68" x14ac:dyDescent="0.35">
      <c r="P34">
        <v>11</v>
      </c>
      <c r="Q34">
        <f>P34-$Q$12</f>
        <v>8</v>
      </c>
      <c r="R34">
        <f>IF(Q34&lt;=0,-1,INT((Q34-1)/($Q$10+$Q$11)))</f>
        <v>0</v>
      </c>
      <c r="S34">
        <f>IF(Q34&lt;=0,-1,MOD(Q34-1,($Q$10+$Q$11)))</f>
        <v>7</v>
      </c>
      <c r="T34">
        <f>IF(OR(S34&lt;0,S34&gt;=$Q$10),-1,INT(S34/$Q$9))</f>
        <v>7</v>
      </c>
      <c r="U34">
        <f>IF(OR(S34&lt;0,S34&gt;=$Q$10),-1,MOD(S34,$Q$9))</f>
        <v>0</v>
      </c>
      <c r="V34">
        <f>IF(OR(Q34&lt;=0,S34&lt;0,S34&gt;=$Q$10,R34&gt;=$Q$7),1,0)</f>
        <v>0</v>
      </c>
      <c r="W34">
        <f>IF(V34=1,-1,T34)</f>
        <v>7</v>
      </c>
      <c r="X34">
        <f>IF(V34=1,-1,R34)</f>
        <v>0</v>
      </c>
      <c r="Y34" t="str">
        <f>IF(V34=1,"",IF(AND(MOD(W34,3)=0,U34=INT(($Q$9-1)/2)),INDEX($B$5:$M$5,W34+1),""))</f>
        <v/>
      </c>
      <c r="Z34" t="e">
        <f>IF(V34=1,NA(),IF(INDEX($B$6:$M$17,($Q$3-1-0)*$Q$4+X34+1,0*$Q$5+W34+1)="",NA(),IF(INDEX($B$6:$M$17,($Q$3-1-0)*$Q$4+X34+1,0*$Q$5+W34+1)&gt;=0,0+(INDEX($B$6:$M$17,($Q$3-1-0)*$Q$4+X34+1,0*$Q$5+W34+1)-$Q$17)/$Q$19*$Q$13,NA())))</f>
        <v>#N/A</v>
      </c>
      <c r="AA34">
        <f>IF(V34=1,NA(),IF(INDEX($B$6:$M$17,($Q$3-1-0)*$Q$4+X34+1,0*$Q$5+W34+1)="",NA(),IF(INDEX($B$6:$M$17,($Q$3-1-0)*$Q$4+X34+1,0*$Q$5+W34+1)&lt;0,0+(INDEX($B$6:$M$17,($Q$3-1-0)*$Q$4+X34+1,0*$Q$5+W34+1)-$Q$17)/$Q$19*$Q$13,NA())))</f>
        <v>0.14349999999999999</v>
      </c>
      <c r="AB34" t="e">
        <f>IF(V34=1,NA(),IF(INDEX($B$6:$M$17,($Q$3-1-1)*$Q$4+X34+1,0*$Q$5+W34+1)="",NA(),IF(INDEX($B$6:$M$17,($Q$3-1-1)*$Q$4+X34+1,0*$Q$5+W34+1)&gt;=0,1+(INDEX($B$6:$M$17,($Q$3-1-1)*$Q$4+X34+1,0*$Q$5+W34+1)-$Q$17)/$Q$19*$Q$13,NA())))</f>
        <v>#N/A</v>
      </c>
      <c r="AC34">
        <f>IF(V34=1,NA(),IF(INDEX($B$6:$M$17,($Q$3-1-1)*$Q$4+X34+1,0*$Q$5+W34+1)="",NA(),IF(INDEX($B$6:$M$17,($Q$3-1-1)*$Q$4+X34+1,0*$Q$5+W34+1)&lt;0,1+(INDEX($B$6:$M$17,($Q$3-1-1)*$Q$4+X34+1,0*$Q$5+W34+1)-$Q$17)/$Q$19*$Q$13,NA())))</f>
        <v>1.3963333333333332</v>
      </c>
      <c r="AD34" t="e">
        <f>IF(V34=1,NA(),IF(INDEX($B$6:$M$17,($Q$3-1-2)*$Q$4+X34+1,0*$Q$5+W34+1)="",NA(),IF(INDEX($B$6:$M$17,($Q$3-1-2)*$Q$4+X34+1,0*$Q$5+W34+1)&gt;=0,2+(INDEX($B$6:$M$17,($Q$3-1-2)*$Q$4+X34+1,0*$Q$5+W34+1)-$Q$17)/$Q$19*$Q$13,NA())))</f>
        <v>#N/A</v>
      </c>
      <c r="AE34">
        <f>IF(V34=1,NA(),IF(INDEX($B$6:$M$17,($Q$3-1-2)*$Q$4+X34+1,0*$Q$5+W34+1)="",NA(),IF(INDEX($B$6:$M$17,($Q$3-1-2)*$Q$4+X34+1,0*$Q$5+W34+1)&lt;0,2+(INDEX($B$6:$M$17,($Q$3-1-2)*$Q$4+X34+1,0*$Q$5+W34+1)-$Q$17)/$Q$19*$Q$13,NA())))</f>
        <v>2.2050000000000001</v>
      </c>
      <c r="AF34">
        <f>IF(V34=1,NA(),IF(INDEX($B$6:$M$17,($Q$3-1-3)*$Q$4+X34+1,0*$Q$5+W34+1)="",NA(),IF(INDEX($B$6:$M$17,($Q$3-1-3)*$Q$4+X34+1,0*$Q$5+W34+1)&gt;=0,3+(INDEX($B$6:$M$17,($Q$3-1-3)*$Q$4+X34+1,0*$Q$5+W34+1)-$Q$17)/$Q$19*$Q$13,NA())))</f>
        <v>3.4578333333333333</v>
      </c>
      <c r="AG34" t="e">
        <f>IF(V34=1,NA(),IF(INDEX($B$6:$M$17,($Q$3-1-3)*$Q$4+X34+1,0*$Q$5+W34+1)="",NA(),IF(INDEX($B$6:$M$17,($Q$3-1-3)*$Q$4+X34+1,0*$Q$5+W34+1)&lt;0,3+(INDEX($B$6:$M$17,($Q$3-1-3)*$Q$4+X34+1,0*$Q$5+W34+1)-$Q$17)/$Q$19*$Q$13,NA())))</f>
        <v>#N/A</v>
      </c>
      <c r="AI34">
        <f>IF(V34=1,0,IF(INDEX($B$6:$M$17,($Q$3-1-0)*$Q$4+X34+1,0*$Q$5+W34+1)="",0,IF(INDEX($B$6:$M$17,($Q$3-1-0)*$Q$4+X34+1,0*$Q$5+W34+1)&gt;=0,ABS(INDEX($B$6:$M$17,($Q$3-1-0)*$Q$4+X34+1,0*$Q$5+W34+1))/$Q$19*$Q$13,0)))</f>
        <v>0</v>
      </c>
      <c r="AJ34">
        <f>IF(V34=1,0,IF(INDEX($B$6:$M$17,($Q$3-1-0)*$Q$4+X34+1,0*$Q$5+W34+1)="",0,IF(INDEX($B$6:$M$17,($Q$3-1-0)*$Q$4+X34+1,0*$Q$5+W34+1)&lt;0,ABS(INDEX($B$6:$M$17,($Q$3-1-0)*$Q$4+X34+1,0*$Q$5+W34+1))/$Q$19*$Q$13,0)))</f>
        <v>0.26650000000000001</v>
      </c>
      <c r="AK34">
        <f>IF(V34=1,0,IF(INDEX($B$6:$M$17,($Q$3-1-1)*$Q$4+X34+1,0*$Q$5+W34+1)="",0,IF(INDEX($B$6:$M$17,($Q$3-1-1)*$Q$4+X34+1,0*$Q$5+W34+1)&gt;=0,ABS(INDEX($B$6:$M$17,($Q$3-1-1)*$Q$4+X34+1,0*$Q$5+W34+1))/$Q$19*$Q$13,0)))</f>
        <v>0</v>
      </c>
      <c r="AL34">
        <f>IF(V34=1,0,IF(INDEX($B$6:$M$17,($Q$3-1-1)*$Q$4+X34+1,0*$Q$5+W34+1)="",0,IF(INDEX($B$6:$M$17,($Q$3-1-1)*$Q$4+X34+1,0*$Q$5+W34+1)&lt;0,ABS(INDEX($B$6:$M$17,($Q$3-1-1)*$Q$4+X34+1,0*$Q$5+W34+1))/$Q$19*$Q$13,0)))</f>
        <v>1.3666666666666666E-2</v>
      </c>
      <c r="AM34">
        <f>IF(V34=1,0,IF(INDEX($B$6:$M$17,($Q$3-1-2)*$Q$4+X34+1,0*$Q$5+W34+1)="",0,IF(INDEX($B$6:$M$17,($Q$3-1-2)*$Q$4+X34+1,0*$Q$5+W34+1)&gt;=0,ABS(INDEX($B$6:$M$17,($Q$3-1-2)*$Q$4+X34+1,0*$Q$5+W34+1))/$Q$19*$Q$13,0)))</f>
        <v>0</v>
      </c>
      <c r="AN34">
        <f>IF(V34=1,0,IF(INDEX($B$6:$M$17,($Q$3-1-2)*$Q$4+X34+1,0*$Q$5+W34+1)="",0,IF(INDEX($B$6:$M$17,($Q$3-1-2)*$Q$4+X34+1,0*$Q$5+W34+1)&lt;0,ABS(INDEX($B$6:$M$17,($Q$3-1-2)*$Q$4+X34+1,0*$Q$5+W34+1))/$Q$19*$Q$13,0)))</f>
        <v>0.20499999999999999</v>
      </c>
      <c r="AO34">
        <f>IF(V34=1,0,IF(INDEX($B$6:$M$17,($Q$3-1-3)*$Q$4+X34+1,0*$Q$5+W34+1)="",0,IF(INDEX($B$6:$M$17,($Q$3-1-3)*$Q$4+X34+1,0*$Q$5+W34+1)&gt;=0,ABS(INDEX($B$6:$M$17,($Q$3-1-3)*$Q$4+X34+1,0*$Q$5+W34+1))/$Q$19*$Q$13,0)))</f>
        <v>4.7833333333333332E-2</v>
      </c>
      <c r="AP34">
        <f>IF(V34=1,0,IF(INDEX($B$6:$M$17,($Q$3-1-3)*$Q$4+X34+1,0*$Q$5+W34+1)="",0,IF(INDEX($B$6:$M$17,($Q$3-1-3)*$Q$4+X34+1,0*$Q$5+W34+1)&lt;0,ABS(INDEX($B$6:$M$17,($Q$3-1-3)*$Q$4+X34+1,0*$Q$5+W34+1))/$Q$19*$Q$13,0)))</f>
        <v>0</v>
      </c>
      <c r="AR34" t="str">
        <f>IF(V34=1,"",IF(INDEX($B$6:$M$17,($Q$3-1-0)*$Q$4+X34+1,0*$Q$5+W34+1)="","",IF(INDEX($B$6:$M$17,($Q$3-1-0)*$Q$4+X34+1,0*$Q$5+W34+1)&gt;=0,TEXT(INDEX($B$6:$M$17,($Q$3-1-0)*$Q$4+X34+1,0*$Q$5+W34+1),"+0;-0;0"),"")))</f>
        <v/>
      </c>
      <c r="AS34" t="str">
        <f>IF(V34=1,"",IF(INDEX($B$6:$M$17,($Q$3-1-0)*$Q$4+X34+1,0*$Q$5+W34+1)="","",IF(INDEX($B$6:$M$17,($Q$3-1-0)*$Q$4+X34+1,0*$Q$5+W34+1)&lt;0,TEXT(INDEX($B$6:$M$17,($Q$3-1-0)*$Q$4+X34+1,0*$Q$5+W34+1),"+0;-0;0"),"")))</f>
        <v>-20</v>
      </c>
      <c r="AT34" t="str">
        <f>IF(V34=1,"",IF(INDEX($B$6:$M$17,($Q$3-1-1)*$Q$4+X34+1,0*$Q$5+W34+1)="","",IF(INDEX($B$6:$M$17,($Q$3-1-1)*$Q$4+X34+1,0*$Q$5+W34+1)&gt;=0,TEXT(INDEX($B$6:$M$17,($Q$3-1-1)*$Q$4+X34+1,0*$Q$5+W34+1),"+0;-0;0"),"")))</f>
        <v/>
      </c>
      <c r="AU34" t="str">
        <f>IF(V34=1,"",IF(INDEX($B$6:$M$17,($Q$3-1-1)*$Q$4+X34+1,0*$Q$5+W34+1)="","",IF(INDEX($B$6:$M$17,($Q$3-1-1)*$Q$4+X34+1,0*$Q$5+W34+1)&lt;0,TEXT(INDEX($B$6:$M$17,($Q$3-1-1)*$Q$4+X34+1,0*$Q$5+W34+1),"+0;-0;0"),"")))</f>
        <v>-1</v>
      </c>
      <c r="AV34" t="str">
        <f>IF(V34=1,"",IF(INDEX($B$6:$M$17,($Q$3-1-2)*$Q$4+X34+1,0*$Q$5+W34+1)="","",IF(INDEX($B$6:$M$17,($Q$3-1-2)*$Q$4+X34+1,0*$Q$5+W34+1)&gt;=0,TEXT(INDEX($B$6:$M$17,($Q$3-1-2)*$Q$4+X34+1,0*$Q$5+W34+1),"+0;-0;0"),"")))</f>
        <v/>
      </c>
      <c r="AW34" t="str">
        <f>IF(V34=1,"",IF(INDEX($B$6:$M$17,($Q$3-1-2)*$Q$4+X34+1,0*$Q$5+W34+1)="","",IF(INDEX($B$6:$M$17,($Q$3-1-2)*$Q$4+X34+1,0*$Q$5+W34+1)&lt;0,TEXT(INDEX($B$6:$M$17,($Q$3-1-2)*$Q$4+X34+1,0*$Q$5+W34+1),"+0;-0;0"),"")))</f>
        <v>-15</v>
      </c>
      <c r="AX34" t="str">
        <f>IF(V34=1,"",IF(INDEX($B$6:$M$17,($Q$3-1-3)*$Q$4+X34+1,0*$Q$5+W34+1)="","",IF(INDEX($B$6:$M$17,($Q$3-1-3)*$Q$4+X34+1,0*$Q$5+W34+1)&gt;=0,TEXT(INDEX($B$6:$M$17,($Q$3-1-3)*$Q$4+X34+1,0*$Q$5+W34+1),"+0;-0;0"),"")))</f>
        <v>+4</v>
      </c>
      <c r="AY34" t="str">
        <f>IF(V34=1,"",IF(INDEX($B$6:$M$17,($Q$3-1-3)*$Q$4+X34+1,0*$Q$5+W34+1)="","",IF(INDEX($B$6:$M$17,($Q$3-1-3)*$Q$4+X34+1,0*$Q$5+W34+1)&lt;0,TEXT(INDEX($B$6:$M$17,($Q$3-1-3)*$Q$4+X34+1,0*$Q$5+W34+1),"+0;-0;0"),"")))</f>
        <v/>
      </c>
      <c r="BG34">
        <v>15.5</v>
      </c>
      <c r="BH34">
        <f>IF(OR($Q$17&gt;0,$Q$18&lt;0),NA(),1+$Q$20)</f>
        <v>1.41</v>
      </c>
      <c r="BJ34">
        <v>17</v>
      </c>
      <c r="BK34">
        <f>0+$Q$13+0.03</f>
        <v>0.85</v>
      </c>
      <c r="BL34" t="str">
        <f>Pin!$A$16</f>
        <v>Business partner 11</v>
      </c>
      <c r="BN34">
        <v>3.35</v>
      </c>
      <c r="BO34">
        <f>3+0.5*$Q$13</f>
        <v>3.41</v>
      </c>
      <c r="BP34" t="str">
        <f>TEXT($Q$17+($Q$18-$Q$17)*0.5,"#,##0")</f>
        <v>0</v>
      </c>
    </row>
    <row r="35" spans="16:68" x14ac:dyDescent="0.35">
      <c r="P35">
        <v>12</v>
      </c>
      <c r="Q35">
        <f>P35-$Q$12</f>
        <v>9</v>
      </c>
      <c r="R35">
        <f>IF(Q35&lt;=0,-1,INT((Q35-1)/($Q$10+$Q$11)))</f>
        <v>0</v>
      </c>
      <c r="S35">
        <f>IF(Q35&lt;=0,-1,MOD(Q35-1,($Q$10+$Q$11)))</f>
        <v>8</v>
      </c>
      <c r="T35">
        <f>IF(OR(S35&lt;0,S35&gt;=$Q$10),-1,INT(S35/$Q$9))</f>
        <v>8</v>
      </c>
      <c r="U35">
        <f>IF(OR(S35&lt;0,S35&gt;=$Q$10),-1,MOD(S35,$Q$9))</f>
        <v>0</v>
      </c>
      <c r="V35">
        <f>IF(OR(Q35&lt;=0,S35&lt;0,S35&gt;=$Q$10,R35&gt;=$Q$7),1,0)</f>
        <v>0</v>
      </c>
      <c r="W35">
        <f>IF(V35=1,-1,T35)</f>
        <v>8</v>
      </c>
      <c r="X35">
        <f>IF(V35=1,-1,R35)</f>
        <v>0</v>
      </c>
      <c r="Y35" t="str">
        <f>IF(V35=1,"",IF(AND(MOD(W35,3)=0,U35=INT(($Q$9-1)/2)),INDEX($B$5:$M$5,W35+1),""))</f>
        <v/>
      </c>
      <c r="Z35" t="e">
        <f>IF(V35=1,NA(),IF(INDEX($B$6:$M$17,($Q$3-1-0)*$Q$4+X35+1,0*$Q$5+W35+1)="",NA(),IF(INDEX($B$6:$M$17,($Q$3-1-0)*$Q$4+X35+1,0*$Q$5+W35+1)&gt;=0,0+(INDEX($B$6:$M$17,($Q$3-1-0)*$Q$4+X35+1,0*$Q$5+W35+1)-$Q$17)/$Q$19*$Q$13,NA())))</f>
        <v>#N/A</v>
      </c>
      <c r="AA35">
        <f>IF(V35=1,NA(),IF(INDEX($B$6:$M$17,($Q$3-1-0)*$Q$4+X35+1,0*$Q$5+W35+1)="",NA(),IF(INDEX($B$6:$M$17,($Q$3-1-0)*$Q$4+X35+1,0*$Q$5+W35+1)&lt;0,0+(INDEX($B$6:$M$17,($Q$3-1-0)*$Q$4+X35+1,0*$Q$5+W35+1)-$Q$17)/$Q$19*$Q$13,NA())))</f>
        <v>0.34849999999999998</v>
      </c>
      <c r="AB35">
        <f>IF(V35=1,NA(),IF(INDEX($B$6:$M$17,($Q$3-1-1)*$Q$4+X35+1,0*$Q$5+W35+1)="",NA(),IF(INDEX($B$6:$M$17,($Q$3-1-1)*$Q$4+X35+1,0*$Q$5+W35+1)&gt;=0,1+(INDEX($B$6:$M$17,($Q$3-1-1)*$Q$4+X35+1,0*$Q$5+W35+1)-$Q$17)/$Q$19*$Q$13,NA())))</f>
        <v>1.6013333333333333</v>
      </c>
      <c r="AC35" t="e">
        <f>IF(V35=1,NA(),IF(INDEX($B$6:$M$17,($Q$3-1-1)*$Q$4+X35+1,0*$Q$5+W35+1)="",NA(),IF(INDEX($B$6:$M$17,($Q$3-1-1)*$Q$4+X35+1,0*$Q$5+W35+1)&lt;0,1+(INDEX($B$6:$M$17,($Q$3-1-1)*$Q$4+X35+1,0*$Q$5+W35+1)-$Q$17)/$Q$19*$Q$13,NA())))</f>
        <v>#N/A</v>
      </c>
      <c r="AD35">
        <f>IF(V35=1,NA(),IF(INDEX($B$6:$M$17,($Q$3-1-2)*$Q$4+X35+1,0*$Q$5+W35+1)="",NA(),IF(INDEX($B$6:$M$17,($Q$3-1-2)*$Q$4+X35+1,0*$Q$5+W35+1)&gt;=0,2+(INDEX($B$6:$M$17,($Q$3-1-2)*$Q$4+X35+1,0*$Q$5+W35+1)-$Q$17)/$Q$19*$Q$13,NA())))</f>
        <v>2.41</v>
      </c>
      <c r="AE35" t="e">
        <f>IF(V35=1,NA(),IF(INDEX($B$6:$M$17,($Q$3-1-2)*$Q$4+X35+1,0*$Q$5+W35+1)="",NA(),IF(INDEX($B$6:$M$17,($Q$3-1-2)*$Q$4+X35+1,0*$Q$5+W35+1)&lt;0,2+(INDEX($B$6:$M$17,($Q$3-1-2)*$Q$4+X35+1,0*$Q$5+W35+1)-$Q$17)/$Q$19*$Q$13,NA())))</f>
        <v>#N/A</v>
      </c>
      <c r="AF35" t="e">
        <f>IF(V35=1,NA(),IF(INDEX($B$6:$M$17,($Q$3-1-3)*$Q$4+X35+1,0*$Q$5+W35+1)="",NA(),IF(INDEX($B$6:$M$17,($Q$3-1-3)*$Q$4+X35+1,0*$Q$5+W35+1)&gt;=0,3+(INDEX($B$6:$M$17,($Q$3-1-3)*$Q$4+X35+1,0*$Q$5+W35+1)-$Q$17)/$Q$19*$Q$13,NA())))</f>
        <v>#N/A</v>
      </c>
      <c r="AG35">
        <f>IF(V35=1,NA(),IF(INDEX($B$6:$M$17,($Q$3-1-3)*$Q$4+X35+1,0*$Q$5+W35+1)="",NA(),IF(INDEX($B$6:$M$17,($Q$3-1-3)*$Q$4+X35+1,0*$Q$5+W35+1)&lt;0,3+(INDEX($B$6:$M$17,($Q$3-1-3)*$Q$4+X35+1,0*$Q$5+W35+1)-$Q$17)/$Q$19*$Q$13,NA())))</f>
        <v>3.2118333333333333</v>
      </c>
      <c r="AI35">
        <f>IF(V35=1,0,IF(INDEX($B$6:$M$17,($Q$3-1-0)*$Q$4+X35+1,0*$Q$5+W35+1)="",0,IF(INDEX($B$6:$M$17,($Q$3-1-0)*$Q$4+X35+1,0*$Q$5+W35+1)&gt;=0,ABS(INDEX($B$6:$M$17,($Q$3-1-0)*$Q$4+X35+1,0*$Q$5+W35+1))/$Q$19*$Q$13,0)))</f>
        <v>0</v>
      </c>
      <c r="AJ35">
        <f>IF(V35=1,0,IF(INDEX($B$6:$M$17,($Q$3-1-0)*$Q$4+X35+1,0*$Q$5+W35+1)="",0,IF(INDEX($B$6:$M$17,($Q$3-1-0)*$Q$4+X35+1,0*$Q$5+W35+1)&lt;0,ABS(INDEX($B$6:$M$17,($Q$3-1-0)*$Q$4+X35+1,0*$Q$5+W35+1))/$Q$19*$Q$13,0)))</f>
        <v>6.1499999999999992E-2</v>
      </c>
      <c r="AK35">
        <f>IF(V35=1,0,IF(INDEX($B$6:$M$17,($Q$3-1-1)*$Q$4+X35+1,0*$Q$5+W35+1)="",0,IF(INDEX($B$6:$M$17,($Q$3-1-1)*$Q$4+X35+1,0*$Q$5+W35+1)&gt;=0,ABS(INDEX($B$6:$M$17,($Q$3-1-1)*$Q$4+X35+1,0*$Q$5+W35+1))/$Q$19*$Q$13,0)))</f>
        <v>0.19133333333333333</v>
      </c>
      <c r="AL35">
        <f>IF(V35=1,0,IF(INDEX($B$6:$M$17,($Q$3-1-1)*$Q$4+X35+1,0*$Q$5+W35+1)="",0,IF(INDEX($B$6:$M$17,($Q$3-1-1)*$Q$4+X35+1,0*$Q$5+W35+1)&lt;0,ABS(INDEX($B$6:$M$17,($Q$3-1-1)*$Q$4+X35+1,0*$Q$5+W35+1))/$Q$19*$Q$13,0)))</f>
        <v>0</v>
      </c>
      <c r="AM35">
        <f>IF(V35=1,0,IF(INDEX($B$6:$M$17,($Q$3-1-2)*$Q$4+X35+1,0*$Q$5+W35+1)="",0,IF(INDEX($B$6:$M$17,($Q$3-1-2)*$Q$4+X35+1,0*$Q$5+W35+1)&gt;=0,ABS(INDEX($B$6:$M$17,($Q$3-1-2)*$Q$4+X35+1,0*$Q$5+W35+1))/$Q$19*$Q$13,0)))</f>
        <v>0</v>
      </c>
      <c r="AN35">
        <f>IF(V35=1,0,IF(INDEX($B$6:$M$17,($Q$3-1-2)*$Q$4+X35+1,0*$Q$5+W35+1)="",0,IF(INDEX($B$6:$M$17,($Q$3-1-2)*$Q$4+X35+1,0*$Q$5+W35+1)&lt;0,ABS(INDEX($B$6:$M$17,($Q$3-1-2)*$Q$4+X35+1,0*$Q$5+W35+1))/$Q$19*$Q$13,0)))</f>
        <v>0</v>
      </c>
      <c r="AO35">
        <f>IF(V35=1,0,IF(INDEX($B$6:$M$17,($Q$3-1-3)*$Q$4+X35+1,0*$Q$5+W35+1)="",0,IF(INDEX($B$6:$M$17,($Q$3-1-3)*$Q$4+X35+1,0*$Q$5+W35+1)&gt;=0,ABS(INDEX($B$6:$M$17,($Q$3-1-3)*$Q$4+X35+1,0*$Q$5+W35+1))/$Q$19*$Q$13,0)))</f>
        <v>0</v>
      </c>
      <c r="AP35">
        <f>IF(V35=1,0,IF(INDEX($B$6:$M$17,($Q$3-1-3)*$Q$4+X35+1,0*$Q$5+W35+1)="",0,IF(INDEX($B$6:$M$17,($Q$3-1-3)*$Q$4+X35+1,0*$Q$5+W35+1)&lt;0,ABS(INDEX($B$6:$M$17,($Q$3-1-3)*$Q$4+X35+1,0*$Q$5+W35+1))/$Q$19*$Q$13,0)))</f>
        <v>0.19816666666666666</v>
      </c>
      <c r="AR35" t="str">
        <f>IF(V35=1,"",IF(INDEX($B$6:$M$17,($Q$3-1-0)*$Q$4+X35+1,0*$Q$5+W35+1)="","",IF(INDEX($B$6:$M$17,($Q$3-1-0)*$Q$4+X35+1,0*$Q$5+W35+1)&gt;=0,TEXT(INDEX($B$6:$M$17,($Q$3-1-0)*$Q$4+X35+1,0*$Q$5+W35+1),"+0;-0;0"),"")))</f>
        <v/>
      </c>
      <c r="AS35" t="str">
        <f>IF(V35=1,"",IF(INDEX($B$6:$M$17,($Q$3-1-0)*$Q$4+X35+1,0*$Q$5+W35+1)="","",IF(INDEX($B$6:$M$17,($Q$3-1-0)*$Q$4+X35+1,0*$Q$5+W35+1)&lt;0,TEXT(INDEX($B$6:$M$17,($Q$3-1-0)*$Q$4+X35+1,0*$Q$5+W35+1),"+0;-0;0"),"")))</f>
        <v>-5</v>
      </c>
      <c r="AT35" t="str">
        <f>IF(V35=1,"",IF(INDEX($B$6:$M$17,($Q$3-1-1)*$Q$4+X35+1,0*$Q$5+W35+1)="","",IF(INDEX($B$6:$M$17,($Q$3-1-1)*$Q$4+X35+1,0*$Q$5+W35+1)&gt;=0,TEXT(INDEX($B$6:$M$17,($Q$3-1-1)*$Q$4+X35+1,0*$Q$5+W35+1),"+0;-0;0"),"")))</f>
        <v>+14</v>
      </c>
      <c r="AU35" t="str">
        <f>IF(V35=1,"",IF(INDEX($B$6:$M$17,($Q$3-1-1)*$Q$4+X35+1,0*$Q$5+W35+1)="","",IF(INDEX($B$6:$M$17,($Q$3-1-1)*$Q$4+X35+1,0*$Q$5+W35+1)&lt;0,TEXT(INDEX($B$6:$M$17,($Q$3-1-1)*$Q$4+X35+1,0*$Q$5+W35+1),"+0;-0;0"),"")))</f>
        <v/>
      </c>
      <c r="AV35" t="str">
        <f>IF(V35=1,"",IF(INDEX($B$6:$M$17,($Q$3-1-2)*$Q$4+X35+1,0*$Q$5+W35+1)="","",IF(INDEX($B$6:$M$17,($Q$3-1-2)*$Q$4+X35+1,0*$Q$5+W35+1)&gt;=0,TEXT(INDEX($B$6:$M$17,($Q$3-1-2)*$Q$4+X35+1,0*$Q$5+W35+1),"+0;-0;0"),"")))</f>
        <v>0</v>
      </c>
      <c r="AW35" t="str">
        <f>IF(V35=1,"",IF(INDEX($B$6:$M$17,($Q$3-1-2)*$Q$4+X35+1,0*$Q$5+W35+1)="","",IF(INDEX($B$6:$M$17,($Q$3-1-2)*$Q$4+X35+1,0*$Q$5+W35+1)&lt;0,TEXT(INDEX($B$6:$M$17,($Q$3-1-2)*$Q$4+X35+1,0*$Q$5+W35+1),"+0;-0;0"),"")))</f>
        <v/>
      </c>
      <c r="AX35" t="str">
        <f>IF(V35=1,"",IF(INDEX($B$6:$M$17,($Q$3-1-3)*$Q$4+X35+1,0*$Q$5+W35+1)="","",IF(INDEX($B$6:$M$17,($Q$3-1-3)*$Q$4+X35+1,0*$Q$5+W35+1)&gt;=0,TEXT(INDEX($B$6:$M$17,($Q$3-1-3)*$Q$4+X35+1,0*$Q$5+W35+1),"+0;-0;0"),"")))</f>
        <v/>
      </c>
      <c r="AY35" t="str">
        <f>IF(V35=1,"",IF(INDEX($B$6:$M$17,($Q$3-1-3)*$Q$4+X35+1,0*$Q$5+W35+1)="","",IF(INDEX($B$6:$M$17,($Q$3-1-3)*$Q$4+X35+1,0*$Q$5+W35+1)&lt;0,TEXT(INDEX($B$6:$M$17,($Q$3-1-3)*$Q$4+X35+1,0*$Q$5+W35+1),"+0;-0;0"),"")))</f>
        <v>-15</v>
      </c>
      <c r="BG35">
        <v>15.5</v>
      </c>
      <c r="BH35" t="e">
        <f>NA()</f>
        <v>#N/A</v>
      </c>
      <c r="BJ35">
        <v>30</v>
      </c>
      <c r="BK35">
        <f>0+$Q$13+0.03</f>
        <v>0.85</v>
      </c>
      <c r="BL35" t="str">
        <f>Pin!$A$17</f>
        <v>Business partner 12</v>
      </c>
      <c r="BN35">
        <v>3.35</v>
      </c>
      <c r="BO35">
        <f>3+1*$Q$13</f>
        <v>3.82</v>
      </c>
      <c r="BP35" t="str">
        <f>TEXT($Q$17+($Q$18-$Q$17)*1,"#,##0")</f>
        <v>30</v>
      </c>
    </row>
    <row r="36" spans="16:68" x14ac:dyDescent="0.35">
      <c r="P36">
        <v>13</v>
      </c>
      <c r="Q36">
        <f>P36-$Q$12</f>
        <v>10</v>
      </c>
      <c r="R36">
        <f>IF(Q36&lt;=0,-1,INT((Q36-1)/($Q$10+$Q$11)))</f>
        <v>0</v>
      </c>
      <c r="S36">
        <f>IF(Q36&lt;=0,-1,MOD(Q36-1,($Q$10+$Q$11)))</f>
        <v>9</v>
      </c>
      <c r="T36">
        <f>IF(OR(S36&lt;0,S36&gt;=$Q$10),-1,INT(S36/$Q$9))</f>
        <v>9</v>
      </c>
      <c r="U36">
        <f>IF(OR(S36&lt;0,S36&gt;=$Q$10),-1,MOD(S36,$Q$9))</f>
        <v>0</v>
      </c>
      <c r="V36">
        <f>IF(OR(Q36&lt;=0,S36&lt;0,S36&gt;=$Q$10,R36&gt;=$Q$7),1,0)</f>
        <v>0</v>
      </c>
      <c r="W36">
        <f>IF(V36=1,-1,T36)</f>
        <v>9</v>
      </c>
      <c r="X36">
        <f>IF(V36=1,-1,R36)</f>
        <v>0</v>
      </c>
      <c r="Y36" t="str">
        <f>IF(V36=1,"",IF(AND(MOD(W36,3)=0,U36=INT(($Q$9-1)/2)),INDEX($B$5:$M$5,W36+1),""))</f>
        <v>Oct</v>
      </c>
      <c r="Z36" t="e">
        <f>IF(V36=1,NA(),IF(INDEX($B$6:$M$17,($Q$3-1-0)*$Q$4+X36+1,0*$Q$5+W36+1)="",NA(),IF(INDEX($B$6:$M$17,($Q$3-1-0)*$Q$4+X36+1,0*$Q$5+W36+1)&gt;=0,0+(INDEX($B$6:$M$17,($Q$3-1-0)*$Q$4+X36+1,0*$Q$5+W36+1)-$Q$17)/$Q$19*$Q$13,NA())))</f>
        <v>#N/A</v>
      </c>
      <c r="AA36">
        <f>IF(V36=1,NA(),IF(INDEX($B$6:$M$17,($Q$3-1-0)*$Q$4+X36+1,0*$Q$5+W36+1)="",NA(),IF(INDEX($B$6:$M$17,($Q$3-1-0)*$Q$4+X36+1,0*$Q$5+W36+1)&lt;0,0+(INDEX($B$6:$M$17,($Q$3-1-0)*$Q$4+X36+1,0*$Q$5+W36+1)-$Q$17)/$Q$19*$Q$13,NA())))</f>
        <v>0.10249999999999999</v>
      </c>
      <c r="AB36" t="e">
        <f>IF(V36=1,NA(),IF(INDEX($B$6:$M$17,($Q$3-1-1)*$Q$4+X36+1,0*$Q$5+W36+1)="",NA(),IF(INDEX($B$6:$M$17,($Q$3-1-1)*$Q$4+X36+1,0*$Q$5+W36+1)&gt;=0,1+(INDEX($B$6:$M$17,($Q$3-1-1)*$Q$4+X36+1,0*$Q$5+W36+1)-$Q$17)/$Q$19*$Q$13,NA())))</f>
        <v>#N/A</v>
      </c>
      <c r="AC36">
        <f>IF(V36=1,NA(),IF(INDEX($B$6:$M$17,($Q$3-1-1)*$Q$4+X36+1,0*$Q$5+W36+1)="",NA(),IF(INDEX($B$6:$M$17,($Q$3-1-1)*$Q$4+X36+1,0*$Q$5+W36+1)&lt;0,1+(INDEX($B$6:$M$17,($Q$3-1-1)*$Q$4+X36+1,0*$Q$5+W36+1)-$Q$17)/$Q$19*$Q$13,NA())))</f>
        <v>1.3553333333333333</v>
      </c>
      <c r="AD36" t="e">
        <f>IF(V36=1,NA(),IF(INDEX($B$6:$M$17,($Q$3-1-2)*$Q$4+X36+1,0*$Q$5+W36+1)="",NA(),IF(INDEX($B$6:$M$17,($Q$3-1-2)*$Q$4+X36+1,0*$Q$5+W36+1)&gt;=0,2+(INDEX($B$6:$M$17,($Q$3-1-2)*$Q$4+X36+1,0*$Q$5+W36+1)-$Q$17)/$Q$19*$Q$13,NA())))</f>
        <v>#N/A</v>
      </c>
      <c r="AE36">
        <f>IF(V36=1,NA(),IF(INDEX($B$6:$M$17,($Q$3-1-2)*$Q$4+X36+1,0*$Q$5+W36+1)="",NA(),IF(INDEX($B$6:$M$17,($Q$3-1-2)*$Q$4+X36+1,0*$Q$5+W36+1)&lt;0,2+(INDEX($B$6:$M$17,($Q$3-1-2)*$Q$4+X36+1,0*$Q$5+W36+1)-$Q$17)/$Q$19*$Q$13,NA())))</f>
        <v>2.1640000000000001</v>
      </c>
      <c r="AF36">
        <f>IF(V36=1,NA(),IF(INDEX($B$6:$M$17,($Q$3-1-3)*$Q$4+X36+1,0*$Q$5+W36+1)="",NA(),IF(INDEX($B$6:$M$17,($Q$3-1-3)*$Q$4+X36+1,0*$Q$5+W36+1)&gt;=0,3+(INDEX($B$6:$M$17,($Q$3-1-3)*$Q$4+X36+1,0*$Q$5+W36+1)-$Q$17)/$Q$19*$Q$13,NA())))</f>
        <v>3.4168333333333334</v>
      </c>
      <c r="AG36" t="e">
        <f>IF(V36=1,NA(),IF(INDEX($B$6:$M$17,($Q$3-1-3)*$Q$4+X36+1,0*$Q$5+W36+1)="",NA(),IF(INDEX($B$6:$M$17,($Q$3-1-3)*$Q$4+X36+1,0*$Q$5+W36+1)&lt;0,3+(INDEX($B$6:$M$17,($Q$3-1-3)*$Q$4+X36+1,0*$Q$5+W36+1)-$Q$17)/$Q$19*$Q$13,NA())))</f>
        <v>#N/A</v>
      </c>
      <c r="AI36">
        <f>IF(V36=1,0,IF(INDEX($B$6:$M$17,($Q$3-1-0)*$Q$4+X36+1,0*$Q$5+W36+1)="",0,IF(INDEX($B$6:$M$17,($Q$3-1-0)*$Q$4+X36+1,0*$Q$5+W36+1)&gt;=0,ABS(INDEX($B$6:$M$17,($Q$3-1-0)*$Q$4+X36+1,0*$Q$5+W36+1))/$Q$19*$Q$13,0)))</f>
        <v>0</v>
      </c>
      <c r="AJ36">
        <f>IF(V36=1,0,IF(INDEX($B$6:$M$17,($Q$3-1-0)*$Q$4+X36+1,0*$Q$5+W36+1)="",0,IF(INDEX($B$6:$M$17,($Q$3-1-0)*$Q$4+X36+1,0*$Q$5+W36+1)&lt;0,ABS(INDEX($B$6:$M$17,($Q$3-1-0)*$Q$4+X36+1,0*$Q$5+W36+1))/$Q$19*$Q$13,0)))</f>
        <v>0.3075</v>
      </c>
      <c r="AK36">
        <f>IF(V36=1,0,IF(INDEX($B$6:$M$17,($Q$3-1-1)*$Q$4+X36+1,0*$Q$5+W36+1)="",0,IF(INDEX($B$6:$M$17,($Q$3-1-1)*$Q$4+X36+1,0*$Q$5+W36+1)&gt;=0,ABS(INDEX($B$6:$M$17,($Q$3-1-1)*$Q$4+X36+1,0*$Q$5+W36+1))/$Q$19*$Q$13,0)))</f>
        <v>0</v>
      </c>
      <c r="AL36">
        <f>IF(V36=1,0,IF(INDEX($B$6:$M$17,($Q$3-1-1)*$Q$4+X36+1,0*$Q$5+W36+1)="",0,IF(INDEX($B$6:$M$17,($Q$3-1-1)*$Q$4+X36+1,0*$Q$5+W36+1)&lt;0,ABS(INDEX($B$6:$M$17,($Q$3-1-1)*$Q$4+X36+1,0*$Q$5+W36+1))/$Q$19*$Q$13,0)))</f>
        <v>5.4666666666666662E-2</v>
      </c>
      <c r="AM36">
        <f>IF(V36=1,0,IF(INDEX($B$6:$M$17,($Q$3-1-2)*$Q$4+X36+1,0*$Q$5+W36+1)="",0,IF(INDEX($B$6:$M$17,($Q$3-1-2)*$Q$4+X36+1,0*$Q$5+W36+1)&gt;=0,ABS(INDEX($B$6:$M$17,($Q$3-1-2)*$Q$4+X36+1,0*$Q$5+W36+1))/$Q$19*$Q$13,0)))</f>
        <v>0</v>
      </c>
      <c r="AN36">
        <f>IF(V36=1,0,IF(INDEX($B$6:$M$17,($Q$3-1-2)*$Q$4+X36+1,0*$Q$5+W36+1)="",0,IF(INDEX($B$6:$M$17,($Q$3-1-2)*$Q$4+X36+1,0*$Q$5+W36+1)&lt;0,ABS(INDEX($B$6:$M$17,($Q$3-1-2)*$Q$4+X36+1,0*$Q$5+W36+1))/$Q$19*$Q$13,0)))</f>
        <v>0.24599999999999997</v>
      </c>
      <c r="AO36">
        <f>IF(V36=1,0,IF(INDEX($B$6:$M$17,($Q$3-1-3)*$Q$4+X36+1,0*$Q$5+W36+1)="",0,IF(INDEX($B$6:$M$17,($Q$3-1-3)*$Q$4+X36+1,0*$Q$5+W36+1)&gt;=0,ABS(INDEX($B$6:$M$17,($Q$3-1-3)*$Q$4+X36+1,0*$Q$5+W36+1))/$Q$19*$Q$13,0)))</f>
        <v>6.8333333333333328E-3</v>
      </c>
      <c r="AP36">
        <f>IF(V36=1,0,IF(INDEX($B$6:$M$17,($Q$3-1-3)*$Q$4+X36+1,0*$Q$5+W36+1)="",0,IF(INDEX($B$6:$M$17,($Q$3-1-3)*$Q$4+X36+1,0*$Q$5+W36+1)&lt;0,ABS(INDEX($B$6:$M$17,($Q$3-1-3)*$Q$4+X36+1,0*$Q$5+W36+1))/$Q$19*$Q$13,0)))</f>
        <v>0</v>
      </c>
      <c r="AR36" t="str">
        <f>IF(V36=1,"",IF(INDEX($B$6:$M$17,($Q$3-1-0)*$Q$4+X36+1,0*$Q$5+W36+1)="","",IF(INDEX($B$6:$M$17,($Q$3-1-0)*$Q$4+X36+1,0*$Q$5+W36+1)&gt;=0,TEXT(INDEX($B$6:$M$17,($Q$3-1-0)*$Q$4+X36+1,0*$Q$5+W36+1),"+0;-0;0"),"")))</f>
        <v/>
      </c>
      <c r="AS36" t="str">
        <f>IF(V36=1,"",IF(INDEX($B$6:$M$17,($Q$3-1-0)*$Q$4+X36+1,0*$Q$5+W36+1)="","",IF(INDEX($B$6:$M$17,($Q$3-1-0)*$Q$4+X36+1,0*$Q$5+W36+1)&lt;0,TEXT(INDEX($B$6:$M$17,($Q$3-1-0)*$Q$4+X36+1,0*$Q$5+W36+1),"+0;-0;0"),"")))</f>
        <v>-23</v>
      </c>
      <c r="AT36" t="str">
        <f>IF(V36=1,"",IF(INDEX($B$6:$M$17,($Q$3-1-1)*$Q$4+X36+1,0*$Q$5+W36+1)="","",IF(INDEX($B$6:$M$17,($Q$3-1-1)*$Q$4+X36+1,0*$Q$5+W36+1)&gt;=0,TEXT(INDEX($B$6:$M$17,($Q$3-1-1)*$Q$4+X36+1,0*$Q$5+W36+1),"+0;-0;0"),"")))</f>
        <v/>
      </c>
      <c r="AU36" t="str">
        <f>IF(V36=1,"",IF(INDEX($B$6:$M$17,($Q$3-1-1)*$Q$4+X36+1,0*$Q$5+W36+1)="","",IF(INDEX($B$6:$M$17,($Q$3-1-1)*$Q$4+X36+1,0*$Q$5+W36+1)&lt;0,TEXT(INDEX($B$6:$M$17,($Q$3-1-1)*$Q$4+X36+1,0*$Q$5+W36+1),"+0;-0;0"),"")))</f>
        <v>-4</v>
      </c>
      <c r="AV36" t="str">
        <f>IF(V36=1,"",IF(INDEX($B$6:$M$17,($Q$3-1-2)*$Q$4+X36+1,0*$Q$5+W36+1)="","",IF(INDEX($B$6:$M$17,($Q$3-1-2)*$Q$4+X36+1,0*$Q$5+W36+1)&gt;=0,TEXT(INDEX($B$6:$M$17,($Q$3-1-2)*$Q$4+X36+1,0*$Q$5+W36+1),"+0;-0;0"),"")))</f>
        <v/>
      </c>
      <c r="AW36" t="str">
        <f>IF(V36=1,"",IF(INDEX($B$6:$M$17,($Q$3-1-2)*$Q$4+X36+1,0*$Q$5+W36+1)="","",IF(INDEX($B$6:$M$17,($Q$3-1-2)*$Q$4+X36+1,0*$Q$5+W36+1)&lt;0,TEXT(INDEX($B$6:$M$17,($Q$3-1-2)*$Q$4+X36+1,0*$Q$5+W36+1),"+0;-0;0"),"")))</f>
        <v>-18</v>
      </c>
      <c r="AX36" t="str">
        <f>IF(V36=1,"",IF(INDEX($B$6:$M$17,($Q$3-1-3)*$Q$4+X36+1,0*$Q$5+W36+1)="","",IF(INDEX($B$6:$M$17,($Q$3-1-3)*$Q$4+X36+1,0*$Q$5+W36+1)&gt;=0,TEXT(INDEX($B$6:$M$17,($Q$3-1-3)*$Q$4+X36+1,0*$Q$5+W36+1),"+0;-0;0"),"")))</f>
        <v>+1</v>
      </c>
      <c r="AY36" t="str">
        <f>IF(V36=1,"",IF(INDEX($B$6:$M$17,($Q$3-1-3)*$Q$4+X36+1,0*$Q$5+W36+1)="","",IF(INDEX($B$6:$M$17,($Q$3-1-3)*$Q$4+X36+1,0*$Q$5+W36+1)&lt;0,TEXT(INDEX($B$6:$M$17,($Q$3-1-3)*$Q$4+X36+1,0*$Q$5+W36+1),"+0;-0;0"),"")))</f>
        <v/>
      </c>
      <c r="BG36">
        <v>16.5</v>
      </c>
      <c r="BH36">
        <f>IF(OR($Q$17&gt;0,$Q$18&lt;0),NA(),1+$Q$20)</f>
        <v>1.41</v>
      </c>
    </row>
    <row r="37" spans="16:68" x14ac:dyDescent="0.35">
      <c r="P37">
        <v>14</v>
      </c>
      <c r="Q37">
        <f>P37-$Q$12</f>
        <v>11</v>
      </c>
      <c r="R37">
        <f>IF(Q37&lt;=0,-1,INT((Q37-1)/($Q$10+$Q$11)))</f>
        <v>0</v>
      </c>
      <c r="S37">
        <f>IF(Q37&lt;=0,-1,MOD(Q37-1,($Q$10+$Q$11)))</f>
        <v>10</v>
      </c>
      <c r="T37">
        <f>IF(OR(S37&lt;0,S37&gt;=$Q$10),-1,INT(S37/$Q$9))</f>
        <v>10</v>
      </c>
      <c r="U37">
        <f>IF(OR(S37&lt;0,S37&gt;=$Q$10),-1,MOD(S37,$Q$9))</f>
        <v>0</v>
      </c>
      <c r="V37">
        <f>IF(OR(Q37&lt;=0,S37&lt;0,S37&gt;=$Q$10,R37&gt;=$Q$7),1,0)</f>
        <v>0</v>
      </c>
      <c r="W37">
        <f>IF(V37=1,-1,T37)</f>
        <v>10</v>
      </c>
      <c r="X37">
        <f>IF(V37=1,-1,R37)</f>
        <v>0</v>
      </c>
      <c r="Y37" t="str">
        <f>IF(V37=1,"",IF(AND(MOD(W37,3)=0,U37=INT(($Q$9-1)/2)),INDEX($B$5:$M$5,W37+1),""))</f>
        <v/>
      </c>
      <c r="Z37" t="e">
        <f>IF(V37=1,NA(),IF(INDEX($B$6:$M$17,($Q$3-1-0)*$Q$4+X37+1,0*$Q$5+W37+1)="",NA(),IF(INDEX($B$6:$M$17,($Q$3-1-0)*$Q$4+X37+1,0*$Q$5+W37+1)&gt;=0,0+(INDEX($B$6:$M$17,($Q$3-1-0)*$Q$4+X37+1,0*$Q$5+W37+1)-$Q$17)/$Q$19*$Q$13,NA())))</f>
        <v>#N/A</v>
      </c>
      <c r="AA37">
        <f>IF(V37=1,NA(),IF(INDEX($B$6:$M$17,($Q$3-1-0)*$Q$4+X37+1,0*$Q$5+W37+1)="",NA(),IF(INDEX($B$6:$M$17,($Q$3-1-0)*$Q$4+X37+1,0*$Q$5+W37+1)&lt;0,0+(INDEX($B$6:$M$17,($Q$3-1-0)*$Q$4+X37+1,0*$Q$5+W37+1)-$Q$17)/$Q$19*$Q$13,NA())))</f>
        <v>0.3075</v>
      </c>
      <c r="AB37">
        <f>IF(V37=1,NA(),IF(INDEX($B$6:$M$17,($Q$3-1-1)*$Q$4+X37+1,0*$Q$5+W37+1)="",NA(),IF(INDEX($B$6:$M$17,($Q$3-1-1)*$Q$4+X37+1,0*$Q$5+W37+1)&gt;=0,1+(INDEX($B$6:$M$17,($Q$3-1-1)*$Q$4+X37+1,0*$Q$5+W37+1)-$Q$17)/$Q$19*$Q$13,NA())))</f>
        <v>1.5603333333333333</v>
      </c>
      <c r="AC37" t="e">
        <f>IF(V37=1,NA(),IF(INDEX($B$6:$M$17,($Q$3-1-1)*$Q$4+X37+1,0*$Q$5+W37+1)="",NA(),IF(INDEX($B$6:$M$17,($Q$3-1-1)*$Q$4+X37+1,0*$Q$5+W37+1)&lt;0,1+(INDEX($B$6:$M$17,($Q$3-1-1)*$Q$4+X37+1,0*$Q$5+W37+1)-$Q$17)/$Q$19*$Q$13,NA())))</f>
        <v>#N/A</v>
      </c>
      <c r="AD37" t="e">
        <f>IF(V37=1,NA(),IF(INDEX($B$6:$M$17,($Q$3-1-2)*$Q$4+X37+1,0*$Q$5+W37+1)="",NA(),IF(INDEX($B$6:$M$17,($Q$3-1-2)*$Q$4+X37+1,0*$Q$5+W37+1)&gt;=0,2+(INDEX($B$6:$M$17,($Q$3-1-2)*$Q$4+X37+1,0*$Q$5+W37+1)-$Q$17)/$Q$19*$Q$13,NA())))</f>
        <v>#N/A</v>
      </c>
      <c r="AE37">
        <f>IF(V37=1,NA(),IF(INDEX($B$6:$M$17,($Q$3-1-2)*$Q$4+X37+1,0*$Q$5+W37+1)="",NA(),IF(INDEX($B$6:$M$17,($Q$3-1-2)*$Q$4+X37+1,0*$Q$5+W37+1)&lt;0,2+(INDEX($B$6:$M$17,($Q$3-1-2)*$Q$4+X37+1,0*$Q$5+W37+1)-$Q$17)/$Q$19*$Q$13,NA())))</f>
        <v>2.3689999999999998</v>
      </c>
      <c r="AF37" t="e">
        <f>IF(V37=1,NA(),IF(INDEX($B$6:$M$17,($Q$3-1-3)*$Q$4+X37+1,0*$Q$5+W37+1)="",NA(),IF(INDEX($B$6:$M$17,($Q$3-1-3)*$Q$4+X37+1,0*$Q$5+W37+1)&gt;=0,3+(INDEX($B$6:$M$17,($Q$3-1-3)*$Q$4+X37+1,0*$Q$5+W37+1)-$Q$17)/$Q$19*$Q$13,NA())))</f>
        <v>#N/A</v>
      </c>
      <c r="AG37">
        <f>IF(V37=1,NA(),IF(INDEX($B$6:$M$17,($Q$3-1-3)*$Q$4+X37+1,0*$Q$5+W37+1)="",NA(),IF(INDEX($B$6:$M$17,($Q$3-1-3)*$Q$4+X37+1,0*$Q$5+W37+1)&lt;0,3+(INDEX($B$6:$M$17,($Q$3-1-3)*$Q$4+X37+1,0*$Q$5+W37+1)-$Q$17)/$Q$19*$Q$13,NA())))</f>
        <v>3.1708333333333334</v>
      </c>
      <c r="AI37">
        <f>IF(V37=1,0,IF(INDEX($B$6:$M$17,($Q$3-1-0)*$Q$4+X37+1,0*$Q$5+W37+1)="",0,IF(INDEX($B$6:$M$17,($Q$3-1-0)*$Q$4+X37+1,0*$Q$5+W37+1)&gt;=0,ABS(INDEX($B$6:$M$17,($Q$3-1-0)*$Q$4+X37+1,0*$Q$5+W37+1))/$Q$19*$Q$13,0)))</f>
        <v>0</v>
      </c>
      <c r="AJ37">
        <f>IF(V37=1,0,IF(INDEX($B$6:$M$17,($Q$3-1-0)*$Q$4+X37+1,0*$Q$5+W37+1)="",0,IF(INDEX($B$6:$M$17,($Q$3-1-0)*$Q$4+X37+1,0*$Q$5+W37+1)&lt;0,ABS(INDEX($B$6:$M$17,($Q$3-1-0)*$Q$4+X37+1,0*$Q$5+W37+1))/$Q$19*$Q$13,0)))</f>
        <v>0.10249999999999999</v>
      </c>
      <c r="AK37">
        <f>IF(V37=1,0,IF(INDEX($B$6:$M$17,($Q$3-1-1)*$Q$4+X37+1,0*$Q$5+W37+1)="",0,IF(INDEX($B$6:$M$17,($Q$3-1-1)*$Q$4+X37+1,0*$Q$5+W37+1)&gt;=0,ABS(INDEX($B$6:$M$17,($Q$3-1-1)*$Q$4+X37+1,0*$Q$5+W37+1))/$Q$19*$Q$13,0)))</f>
        <v>0.15033333333333332</v>
      </c>
      <c r="AL37">
        <f>IF(V37=1,0,IF(INDEX($B$6:$M$17,($Q$3-1-1)*$Q$4+X37+1,0*$Q$5+W37+1)="",0,IF(INDEX($B$6:$M$17,($Q$3-1-1)*$Q$4+X37+1,0*$Q$5+W37+1)&lt;0,ABS(INDEX($B$6:$M$17,($Q$3-1-1)*$Q$4+X37+1,0*$Q$5+W37+1))/$Q$19*$Q$13,0)))</f>
        <v>0</v>
      </c>
      <c r="AM37">
        <f>IF(V37=1,0,IF(INDEX($B$6:$M$17,($Q$3-1-2)*$Q$4+X37+1,0*$Q$5+W37+1)="",0,IF(INDEX($B$6:$M$17,($Q$3-1-2)*$Q$4+X37+1,0*$Q$5+W37+1)&gt;=0,ABS(INDEX($B$6:$M$17,($Q$3-1-2)*$Q$4+X37+1,0*$Q$5+W37+1))/$Q$19*$Q$13,0)))</f>
        <v>0</v>
      </c>
      <c r="AN37">
        <f>IF(V37=1,0,IF(INDEX($B$6:$M$17,($Q$3-1-2)*$Q$4+X37+1,0*$Q$5+W37+1)="",0,IF(INDEX($B$6:$M$17,($Q$3-1-2)*$Q$4+X37+1,0*$Q$5+W37+1)&lt;0,ABS(INDEX($B$6:$M$17,($Q$3-1-2)*$Q$4+X37+1,0*$Q$5+W37+1))/$Q$19*$Q$13,0)))</f>
        <v>4.1000000000000002E-2</v>
      </c>
      <c r="AO37">
        <f>IF(V37=1,0,IF(INDEX($B$6:$M$17,($Q$3-1-3)*$Q$4+X37+1,0*$Q$5+W37+1)="",0,IF(INDEX($B$6:$M$17,($Q$3-1-3)*$Q$4+X37+1,0*$Q$5+W37+1)&gt;=0,ABS(INDEX($B$6:$M$17,($Q$3-1-3)*$Q$4+X37+1,0*$Q$5+W37+1))/$Q$19*$Q$13,0)))</f>
        <v>0</v>
      </c>
      <c r="AP37">
        <f>IF(V37=1,0,IF(INDEX($B$6:$M$17,($Q$3-1-3)*$Q$4+X37+1,0*$Q$5+W37+1)="",0,IF(INDEX($B$6:$M$17,($Q$3-1-3)*$Q$4+X37+1,0*$Q$5+W37+1)&lt;0,ABS(INDEX($B$6:$M$17,($Q$3-1-3)*$Q$4+X37+1,0*$Q$5+W37+1))/$Q$19*$Q$13,0)))</f>
        <v>0.23916666666666667</v>
      </c>
      <c r="AR37" t="str">
        <f>IF(V37=1,"",IF(INDEX($B$6:$M$17,($Q$3-1-0)*$Q$4+X37+1,0*$Q$5+W37+1)="","",IF(INDEX($B$6:$M$17,($Q$3-1-0)*$Q$4+X37+1,0*$Q$5+W37+1)&gt;=0,TEXT(INDEX($B$6:$M$17,($Q$3-1-0)*$Q$4+X37+1,0*$Q$5+W37+1),"+0;-0;0"),"")))</f>
        <v/>
      </c>
      <c r="AS37" t="str">
        <f>IF(V37=1,"",IF(INDEX($B$6:$M$17,($Q$3-1-0)*$Q$4+X37+1,0*$Q$5+W37+1)="","",IF(INDEX($B$6:$M$17,($Q$3-1-0)*$Q$4+X37+1,0*$Q$5+W37+1)&lt;0,TEXT(INDEX($B$6:$M$17,($Q$3-1-0)*$Q$4+X37+1,0*$Q$5+W37+1),"+0;-0;0"),"")))</f>
        <v>-8</v>
      </c>
      <c r="AT37" t="str">
        <f>IF(V37=1,"",IF(INDEX($B$6:$M$17,($Q$3-1-1)*$Q$4+X37+1,0*$Q$5+W37+1)="","",IF(INDEX($B$6:$M$17,($Q$3-1-1)*$Q$4+X37+1,0*$Q$5+W37+1)&gt;=0,TEXT(INDEX($B$6:$M$17,($Q$3-1-1)*$Q$4+X37+1,0*$Q$5+W37+1),"+0;-0;0"),"")))</f>
        <v>+11</v>
      </c>
      <c r="AU37" t="str">
        <f>IF(V37=1,"",IF(INDEX($B$6:$M$17,($Q$3-1-1)*$Q$4+X37+1,0*$Q$5+W37+1)="","",IF(INDEX($B$6:$M$17,($Q$3-1-1)*$Q$4+X37+1,0*$Q$5+W37+1)&lt;0,TEXT(INDEX($B$6:$M$17,($Q$3-1-1)*$Q$4+X37+1,0*$Q$5+W37+1),"+0;-0;0"),"")))</f>
        <v/>
      </c>
      <c r="AV37" t="str">
        <f>IF(V37=1,"",IF(INDEX($B$6:$M$17,($Q$3-1-2)*$Q$4+X37+1,0*$Q$5+W37+1)="","",IF(INDEX($B$6:$M$17,($Q$3-1-2)*$Q$4+X37+1,0*$Q$5+W37+1)&gt;=0,TEXT(INDEX($B$6:$M$17,($Q$3-1-2)*$Q$4+X37+1,0*$Q$5+W37+1),"+0;-0;0"),"")))</f>
        <v/>
      </c>
      <c r="AW37" t="str">
        <f>IF(V37=1,"",IF(INDEX($B$6:$M$17,($Q$3-1-2)*$Q$4+X37+1,0*$Q$5+W37+1)="","",IF(INDEX($B$6:$M$17,($Q$3-1-2)*$Q$4+X37+1,0*$Q$5+W37+1)&lt;0,TEXT(INDEX($B$6:$M$17,($Q$3-1-2)*$Q$4+X37+1,0*$Q$5+W37+1),"+0;-0;0"),"")))</f>
        <v>-3</v>
      </c>
      <c r="AX37" t="str">
        <f>IF(V37=1,"",IF(INDEX($B$6:$M$17,($Q$3-1-3)*$Q$4+X37+1,0*$Q$5+W37+1)="","",IF(INDEX($B$6:$M$17,($Q$3-1-3)*$Q$4+X37+1,0*$Q$5+W37+1)&gt;=0,TEXT(INDEX($B$6:$M$17,($Q$3-1-3)*$Q$4+X37+1,0*$Q$5+W37+1),"+0;-0;0"),"")))</f>
        <v/>
      </c>
      <c r="AY37" t="str">
        <f>IF(V37=1,"",IF(INDEX($B$6:$M$17,($Q$3-1-3)*$Q$4+X37+1,0*$Q$5+W37+1)="","",IF(INDEX($B$6:$M$17,($Q$3-1-3)*$Q$4+X37+1,0*$Q$5+W37+1)&lt;0,TEXT(INDEX($B$6:$M$17,($Q$3-1-3)*$Q$4+X37+1,0*$Q$5+W37+1),"+0;-0;0"),"")))</f>
        <v>-18</v>
      </c>
      <c r="BG37">
        <v>28.5</v>
      </c>
      <c r="BH37">
        <f>IF(OR($Q$17&gt;0,$Q$18&lt;0),NA(),1+$Q$20)</f>
        <v>1.41</v>
      </c>
    </row>
    <row r="38" spans="16:68" x14ac:dyDescent="0.35">
      <c r="P38">
        <v>15</v>
      </c>
      <c r="Q38">
        <f>P38-$Q$12</f>
        <v>12</v>
      </c>
      <c r="R38">
        <f>IF(Q38&lt;=0,-1,INT((Q38-1)/($Q$10+$Q$11)))</f>
        <v>0</v>
      </c>
      <c r="S38">
        <f>IF(Q38&lt;=0,-1,MOD(Q38-1,($Q$10+$Q$11)))</f>
        <v>11</v>
      </c>
      <c r="T38">
        <f>IF(OR(S38&lt;0,S38&gt;=$Q$10),-1,INT(S38/$Q$9))</f>
        <v>11</v>
      </c>
      <c r="U38">
        <f>IF(OR(S38&lt;0,S38&gt;=$Q$10),-1,MOD(S38,$Q$9))</f>
        <v>0</v>
      </c>
      <c r="V38">
        <f>IF(OR(Q38&lt;=0,S38&lt;0,S38&gt;=$Q$10,R38&gt;=$Q$7),1,0)</f>
        <v>0</v>
      </c>
      <c r="W38">
        <f>IF(V38=1,-1,T38)</f>
        <v>11</v>
      </c>
      <c r="X38">
        <f>IF(V38=1,-1,R38)</f>
        <v>0</v>
      </c>
      <c r="Y38" t="str">
        <f>IF(V38=1,"",IF(AND(MOD(W38,3)=0,U38=INT(($Q$9-1)/2)),INDEX($B$5:$M$5,W38+1),""))</f>
        <v/>
      </c>
      <c r="Z38">
        <f>IF(V38=1,NA(),IF(INDEX($B$6:$M$17,($Q$3-1-0)*$Q$4+X38+1,0*$Q$5+W38+1)="",NA(),IF(INDEX($B$6:$M$17,($Q$3-1-0)*$Q$4+X38+1,0*$Q$5+W38+1)&gt;=0,0+(INDEX($B$6:$M$17,($Q$3-1-0)*$Q$4+X38+1,0*$Q$5+W38+1)-$Q$17)/$Q$19*$Q$13,NA())))</f>
        <v>0.51249999999999996</v>
      </c>
      <c r="AA38" t="e">
        <f>IF(V38=1,NA(),IF(INDEX($B$6:$M$17,($Q$3-1-0)*$Q$4+X38+1,0*$Q$5+W38+1)="",NA(),IF(INDEX($B$6:$M$17,($Q$3-1-0)*$Q$4+X38+1,0*$Q$5+W38+1)&lt;0,0+(INDEX($B$6:$M$17,($Q$3-1-0)*$Q$4+X38+1,0*$Q$5+W38+1)-$Q$17)/$Q$19*$Q$13,NA())))</f>
        <v>#N/A</v>
      </c>
      <c r="AB38" t="e">
        <f>IF(V38=1,NA(),IF(INDEX($B$6:$M$17,($Q$3-1-1)*$Q$4+X38+1,0*$Q$5+W38+1)="",NA(),IF(INDEX($B$6:$M$17,($Q$3-1-1)*$Q$4+X38+1,0*$Q$5+W38+1)&gt;=0,1+(INDEX($B$6:$M$17,($Q$3-1-1)*$Q$4+X38+1,0*$Q$5+W38+1)-$Q$17)/$Q$19*$Q$13,NA())))</f>
        <v>#N/A</v>
      </c>
      <c r="AC38">
        <f>IF(V38=1,NA(),IF(INDEX($B$6:$M$17,($Q$3-1-1)*$Q$4+X38+1,0*$Q$5+W38+1)="",NA(),IF(INDEX($B$6:$M$17,($Q$3-1-1)*$Q$4+X38+1,0*$Q$5+W38+1)&lt;0,1+(INDEX($B$6:$M$17,($Q$3-1-1)*$Q$4+X38+1,0*$Q$5+W38+1)-$Q$17)/$Q$19*$Q$13,NA())))</f>
        <v>1.3143333333333334</v>
      </c>
      <c r="AD38" t="e">
        <f>IF(V38=1,NA(),IF(INDEX($B$6:$M$17,($Q$3-1-2)*$Q$4+X38+1,0*$Q$5+W38+1)="",NA(),IF(INDEX($B$6:$M$17,($Q$3-1-2)*$Q$4+X38+1,0*$Q$5+W38+1)&gt;=0,2+(INDEX($B$6:$M$17,($Q$3-1-2)*$Q$4+X38+1,0*$Q$5+W38+1)-$Q$17)/$Q$19*$Q$13,NA())))</f>
        <v>#N/A</v>
      </c>
      <c r="AE38">
        <f>IF(V38=1,NA(),IF(INDEX($B$6:$M$17,($Q$3-1-2)*$Q$4+X38+1,0*$Q$5+W38+1)="",NA(),IF(INDEX($B$6:$M$17,($Q$3-1-2)*$Q$4+X38+1,0*$Q$5+W38+1)&lt;0,2+(INDEX($B$6:$M$17,($Q$3-1-2)*$Q$4+X38+1,0*$Q$5+W38+1)-$Q$17)/$Q$19*$Q$13,NA())))</f>
        <v>2.1229999999999998</v>
      </c>
      <c r="AF38" t="e">
        <f>IF(V38=1,NA(),IF(INDEX($B$6:$M$17,($Q$3-1-3)*$Q$4+X38+1,0*$Q$5+W38+1)="",NA(),IF(INDEX($B$6:$M$17,($Q$3-1-3)*$Q$4+X38+1,0*$Q$5+W38+1)&gt;=0,3+(INDEX($B$6:$M$17,($Q$3-1-3)*$Q$4+X38+1,0*$Q$5+W38+1)-$Q$17)/$Q$19*$Q$13,NA())))</f>
        <v>#N/A</v>
      </c>
      <c r="AG38">
        <f>IF(V38=1,NA(),IF(INDEX($B$6:$M$17,($Q$3-1-3)*$Q$4+X38+1,0*$Q$5+W38+1)="",NA(),IF(INDEX($B$6:$M$17,($Q$3-1-3)*$Q$4+X38+1,0*$Q$5+W38+1)&lt;0,3+(INDEX($B$6:$M$17,($Q$3-1-3)*$Q$4+X38+1,0*$Q$5+W38+1)-$Q$17)/$Q$19*$Q$13,NA())))</f>
        <v>3.3758333333333335</v>
      </c>
      <c r="AI38">
        <f>IF(V38=1,0,IF(INDEX($B$6:$M$17,($Q$3-1-0)*$Q$4+X38+1,0*$Q$5+W38+1)="",0,IF(INDEX($B$6:$M$17,($Q$3-1-0)*$Q$4+X38+1,0*$Q$5+W38+1)&gt;=0,ABS(INDEX($B$6:$M$17,($Q$3-1-0)*$Q$4+X38+1,0*$Q$5+W38+1))/$Q$19*$Q$13,0)))</f>
        <v>0.10249999999999999</v>
      </c>
      <c r="AJ38">
        <f>IF(V38=1,0,IF(INDEX($B$6:$M$17,($Q$3-1-0)*$Q$4+X38+1,0*$Q$5+W38+1)="",0,IF(INDEX($B$6:$M$17,($Q$3-1-0)*$Q$4+X38+1,0*$Q$5+W38+1)&lt;0,ABS(INDEX($B$6:$M$17,($Q$3-1-0)*$Q$4+X38+1,0*$Q$5+W38+1))/$Q$19*$Q$13,0)))</f>
        <v>0</v>
      </c>
      <c r="AK38">
        <f>IF(V38=1,0,IF(INDEX($B$6:$M$17,($Q$3-1-1)*$Q$4+X38+1,0*$Q$5+W38+1)="",0,IF(INDEX($B$6:$M$17,($Q$3-1-1)*$Q$4+X38+1,0*$Q$5+W38+1)&gt;=0,ABS(INDEX($B$6:$M$17,($Q$3-1-1)*$Q$4+X38+1,0*$Q$5+W38+1))/$Q$19*$Q$13,0)))</f>
        <v>0</v>
      </c>
      <c r="AL38">
        <f>IF(V38=1,0,IF(INDEX($B$6:$M$17,($Q$3-1-1)*$Q$4+X38+1,0*$Q$5+W38+1)="",0,IF(INDEX($B$6:$M$17,($Q$3-1-1)*$Q$4+X38+1,0*$Q$5+W38+1)&lt;0,ABS(INDEX($B$6:$M$17,($Q$3-1-1)*$Q$4+X38+1,0*$Q$5+W38+1))/$Q$19*$Q$13,0)))</f>
        <v>9.5666666666666664E-2</v>
      </c>
      <c r="AM38">
        <f>IF(V38=1,0,IF(INDEX($B$6:$M$17,($Q$3-1-2)*$Q$4+X38+1,0*$Q$5+W38+1)="",0,IF(INDEX($B$6:$M$17,($Q$3-1-2)*$Q$4+X38+1,0*$Q$5+W38+1)&gt;=0,ABS(INDEX($B$6:$M$17,($Q$3-1-2)*$Q$4+X38+1,0*$Q$5+W38+1))/$Q$19*$Q$13,0)))</f>
        <v>0</v>
      </c>
      <c r="AN38">
        <f>IF(V38=1,0,IF(INDEX($B$6:$M$17,($Q$3-1-2)*$Q$4+X38+1,0*$Q$5+W38+1)="",0,IF(INDEX($B$6:$M$17,($Q$3-1-2)*$Q$4+X38+1,0*$Q$5+W38+1)&lt;0,ABS(INDEX($B$6:$M$17,($Q$3-1-2)*$Q$4+X38+1,0*$Q$5+W38+1))/$Q$19*$Q$13,0)))</f>
        <v>0.28699999999999998</v>
      </c>
      <c r="AO38">
        <f>IF(V38=1,0,IF(INDEX($B$6:$M$17,($Q$3-1-3)*$Q$4+X38+1,0*$Q$5+W38+1)="",0,IF(INDEX($B$6:$M$17,($Q$3-1-3)*$Q$4+X38+1,0*$Q$5+W38+1)&gt;=0,ABS(INDEX($B$6:$M$17,($Q$3-1-3)*$Q$4+X38+1,0*$Q$5+W38+1))/$Q$19*$Q$13,0)))</f>
        <v>0</v>
      </c>
      <c r="AP38">
        <f>IF(V38=1,0,IF(INDEX($B$6:$M$17,($Q$3-1-3)*$Q$4+X38+1,0*$Q$5+W38+1)="",0,IF(INDEX($B$6:$M$17,($Q$3-1-3)*$Q$4+X38+1,0*$Q$5+W38+1)&lt;0,ABS(INDEX($B$6:$M$17,($Q$3-1-3)*$Q$4+X38+1,0*$Q$5+W38+1))/$Q$19*$Q$13,0)))</f>
        <v>3.4166666666666665E-2</v>
      </c>
      <c r="AR38" t="str">
        <f>IF(V38=1,"",IF(INDEX($B$6:$M$17,($Q$3-1-0)*$Q$4+X38+1,0*$Q$5+W38+1)="","",IF(INDEX($B$6:$M$17,($Q$3-1-0)*$Q$4+X38+1,0*$Q$5+W38+1)&gt;=0,TEXT(INDEX($B$6:$M$17,($Q$3-1-0)*$Q$4+X38+1,0*$Q$5+W38+1),"+0;-0;0"),"")))</f>
        <v>+8</v>
      </c>
      <c r="AS38" t="str">
        <f>IF(V38=1,"",IF(INDEX($B$6:$M$17,($Q$3-1-0)*$Q$4+X38+1,0*$Q$5+W38+1)="","",IF(INDEX($B$6:$M$17,($Q$3-1-0)*$Q$4+X38+1,0*$Q$5+W38+1)&lt;0,TEXT(INDEX($B$6:$M$17,($Q$3-1-0)*$Q$4+X38+1,0*$Q$5+W38+1),"+0;-0;0"),"")))</f>
        <v/>
      </c>
      <c r="AT38" t="str">
        <f>IF(V38=1,"",IF(INDEX($B$6:$M$17,($Q$3-1-1)*$Q$4+X38+1,0*$Q$5+W38+1)="","",IF(INDEX($B$6:$M$17,($Q$3-1-1)*$Q$4+X38+1,0*$Q$5+W38+1)&gt;=0,TEXT(INDEX($B$6:$M$17,($Q$3-1-1)*$Q$4+X38+1,0*$Q$5+W38+1),"+0;-0;0"),"")))</f>
        <v/>
      </c>
      <c r="AU38" t="str">
        <f>IF(V38=1,"",IF(INDEX($B$6:$M$17,($Q$3-1-1)*$Q$4+X38+1,0*$Q$5+W38+1)="","",IF(INDEX($B$6:$M$17,($Q$3-1-1)*$Q$4+X38+1,0*$Q$5+W38+1)&lt;0,TEXT(INDEX($B$6:$M$17,($Q$3-1-1)*$Q$4+X38+1,0*$Q$5+W38+1),"+0;-0;0"),"")))</f>
        <v>-7</v>
      </c>
      <c r="AV38" t="str">
        <f>IF(V38=1,"",IF(INDEX($B$6:$M$17,($Q$3-1-2)*$Q$4+X38+1,0*$Q$5+W38+1)="","",IF(INDEX($B$6:$M$17,($Q$3-1-2)*$Q$4+X38+1,0*$Q$5+W38+1)&gt;=0,TEXT(INDEX($B$6:$M$17,($Q$3-1-2)*$Q$4+X38+1,0*$Q$5+W38+1),"+0;-0;0"),"")))</f>
        <v/>
      </c>
      <c r="AW38" t="str">
        <f>IF(V38=1,"",IF(INDEX($B$6:$M$17,($Q$3-1-2)*$Q$4+X38+1,0*$Q$5+W38+1)="","",IF(INDEX($B$6:$M$17,($Q$3-1-2)*$Q$4+X38+1,0*$Q$5+W38+1)&lt;0,TEXT(INDEX($B$6:$M$17,($Q$3-1-2)*$Q$4+X38+1,0*$Q$5+W38+1),"+0;-0;0"),"")))</f>
        <v>-21</v>
      </c>
      <c r="AX38" t="str">
        <f>IF(V38=1,"",IF(INDEX($B$6:$M$17,($Q$3-1-3)*$Q$4+X38+1,0*$Q$5+W38+1)="","",IF(INDEX($B$6:$M$17,($Q$3-1-3)*$Q$4+X38+1,0*$Q$5+W38+1)&gt;=0,TEXT(INDEX($B$6:$M$17,($Q$3-1-3)*$Q$4+X38+1,0*$Q$5+W38+1),"+0;-0;0"),"")))</f>
        <v/>
      </c>
      <c r="AY38" t="str">
        <f>IF(V38=1,"",IF(INDEX($B$6:$M$17,($Q$3-1-3)*$Q$4+X38+1,0*$Q$5+W38+1)="","",IF(INDEX($B$6:$M$17,($Q$3-1-3)*$Q$4+X38+1,0*$Q$5+W38+1)&lt;0,TEXT(INDEX($B$6:$M$17,($Q$3-1-3)*$Q$4+X38+1,0*$Q$5+W38+1),"+0;-0;0"),"")))</f>
        <v>-3</v>
      </c>
      <c r="BG38">
        <v>28.5</v>
      </c>
      <c r="BH38" t="e">
        <f>NA()</f>
        <v>#N/A</v>
      </c>
    </row>
    <row r="39" spans="16:68" x14ac:dyDescent="0.35">
      <c r="P39">
        <v>16</v>
      </c>
      <c r="Q39">
        <f>P39-$Q$12</f>
        <v>13</v>
      </c>
      <c r="R39">
        <f>IF(Q39&lt;=0,-1,INT((Q39-1)/($Q$10+$Q$11)))</f>
        <v>0</v>
      </c>
      <c r="S39">
        <f>IF(Q39&lt;=0,-1,MOD(Q39-1,($Q$10+$Q$11)))</f>
        <v>12</v>
      </c>
      <c r="T39">
        <f>IF(OR(S39&lt;0,S39&gt;=$Q$10),-1,INT(S39/$Q$9))</f>
        <v>-1</v>
      </c>
      <c r="U39">
        <f>IF(OR(S39&lt;0,S39&gt;=$Q$10),-1,MOD(S39,$Q$9))</f>
        <v>-1</v>
      </c>
      <c r="V39">
        <f>IF(OR(Q39&lt;=0,S39&lt;0,S39&gt;=$Q$10,R39&gt;=$Q$7),1,0)</f>
        <v>1</v>
      </c>
      <c r="W39">
        <f>IF(V39=1,-1,T39)</f>
        <v>-1</v>
      </c>
      <c r="X39">
        <f>IF(V39=1,-1,R39)</f>
        <v>-1</v>
      </c>
      <c r="Y39" t="str">
        <f>IF(V39=1,"",IF(AND(MOD(W39,3)=0,U39=INT(($Q$9-1)/2)),INDEX($B$5:$M$5,W39+1),""))</f>
        <v/>
      </c>
      <c r="Z39" t="e">
        <f>IF(V39=1,NA(),IF(INDEX($B$6:$M$17,($Q$3-1-0)*$Q$4+X39+1,0*$Q$5+W39+1)="",NA(),IF(INDEX($B$6:$M$17,($Q$3-1-0)*$Q$4+X39+1,0*$Q$5+W39+1)&gt;=0,0+(INDEX($B$6:$M$17,($Q$3-1-0)*$Q$4+X39+1,0*$Q$5+W39+1)-$Q$17)/$Q$19*$Q$13,NA())))</f>
        <v>#N/A</v>
      </c>
      <c r="AA39" t="e">
        <f>IF(V39=1,NA(),IF(INDEX($B$6:$M$17,($Q$3-1-0)*$Q$4+X39+1,0*$Q$5+W39+1)="",NA(),IF(INDEX($B$6:$M$17,($Q$3-1-0)*$Q$4+X39+1,0*$Q$5+W39+1)&lt;0,0+(INDEX($B$6:$M$17,($Q$3-1-0)*$Q$4+X39+1,0*$Q$5+W39+1)-$Q$17)/$Q$19*$Q$13,NA())))</f>
        <v>#N/A</v>
      </c>
      <c r="AB39" t="e">
        <f>IF(V39=1,NA(),IF(INDEX($B$6:$M$17,($Q$3-1-1)*$Q$4+X39+1,0*$Q$5+W39+1)="",NA(),IF(INDEX($B$6:$M$17,($Q$3-1-1)*$Q$4+X39+1,0*$Q$5+W39+1)&gt;=0,1+(INDEX($B$6:$M$17,($Q$3-1-1)*$Q$4+X39+1,0*$Q$5+W39+1)-$Q$17)/$Q$19*$Q$13,NA())))</f>
        <v>#N/A</v>
      </c>
      <c r="AC39" t="e">
        <f>IF(V39=1,NA(),IF(INDEX($B$6:$M$17,($Q$3-1-1)*$Q$4+X39+1,0*$Q$5+W39+1)="",NA(),IF(INDEX($B$6:$M$17,($Q$3-1-1)*$Q$4+X39+1,0*$Q$5+W39+1)&lt;0,1+(INDEX($B$6:$M$17,($Q$3-1-1)*$Q$4+X39+1,0*$Q$5+W39+1)-$Q$17)/$Q$19*$Q$13,NA())))</f>
        <v>#N/A</v>
      </c>
      <c r="AD39" t="e">
        <f>IF(V39=1,NA(),IF(INDEX($B$6:$M$17,($Q$3-1-2)*$Q$4+X39+1,0*$Q$5+W39+1)="",NA(),IF(INDEX($B$6:$M$17,($Q$3-1-2)*$Q$4+X39+1,0*$Q$5+W39+1)&gt;=0,2+(INDEX($B$6:$M$17,($Q$3-1-2)*$Q$4+X39+1,0*$Q$5+W39+1)-$Q$17)/$Q$19*$Q$13,NA())))</f>
        <v>#N/A</v>
      </c>
      <c r="AE39" t="e">
        <f>IF(V39=1,NA(),IF(INDEX($B$6:$M$17,($Q$3-1-2)*$Q$4+X39+1,0*$Q$5+W39+1)="",NA(),IF(INDEX($B$6:$M$17,($Q$3-1-2)*$Q$4+X39+1,0*$Q$5+W39+1)&lt;0,2+(INDEX($B$6:$M$17,($Q$3-1-2)*$Q$4+X39+1,0*$Q$5+W39+1)-$Q$17)/$Q$19*$Q$13,NA())))</f>
        <v>#N/A</v>
      </c>
      <c r="AF39" t="e">
        <f>IF(V39=1,NA(),IF(INDEX($B$6:$M$17,($Q$3-1-3)*$Q$4+X39+1,0*$Q$5+W39+1)="",NA(),IF(INDEX($B$6:$M$17,($Q$3-1-3)*$Q$4+X39+1,0*$Q$5+W39+1)&gt;=0,3+(INDEX($B$6:$M$17,($Q$3-1-3)*$Q$4+X39+1,0*$Q$5+W39+1)-$Q$17)/$Q$19*$Q$13,NA())))</f>
        <v>#N/A</v>
      </c>
      <c r="AG39" t="e">
        <f>IF(V39=1,NA(),IF(INDEX($B$6:$M$17,($Q$3-1-3)*$Q$4+X39+1,0*$Q$5+W39+1)="",NA(),IF(INDEX($B$6:$M$17,($Q$3-1-3)*$Q$4+X39+1,0*$Q$5+W39+1)&lt;0,3+(INDEX($B$6:$M$17,($Q$3-1-3)*$Q$4+X39+1,0*$Q$5+W39+1)-$Q$17)/$Q$19*$Q$13,NA())))</f>
        <v>#N/A</v>
      </c>
      <c r="AI39">
        <f>IF(V39=1,0,IF(INDEX($B$6:$M$17,($Q$3-1-0)*$Q$4+X39+1,0*$Q$5+W39+1)="",0,IF(INDEX($B$6:$M$17,($Q$3-1-0)*$Q$4+X39+1,0*$Q$5+W39+1)&gt;=0,ABS(INDEX($B$6:$M$17,($Q$3-1-0)*$Q$4+X39+1,0*$Q$5+W39+1))/$Q$19*$Q$13,0)))</f>
        <v>0</v>
      </c>
      <c r="AJ39">
        <f>IF(V39=1,0,IF(INDEX($B$6:$M$17,($Q$3-1-0)*$Q$4+X39+1,0*$Q$5+W39+1)="",0,IF(INDEX($B$6:$M$17,($Q$3-1-0)*$Q$4+X39+1,0*$Q$5+W39+1)&lt;0,ABS(INDEX($B$6:$M$17,($Q$3-1-0)*$Q$4+X39+1,0*$Q$5+W39+1))/$Q$19*$Q$13,0)))</f>
        <v>0</v>
      </c>
      <c r="AK39">
        <f>IF(V39=1,0,IF(INDEX($B$6:$M$17,($Q$3-1-1)*$Q$4+X39+1,0*$Q$5+W39+1)="",0,IF(INDEX($B$6:$M$17,($Q$3-1-1)*$Q$4+X39+1,0*$Q$5+W39+1)&gt;=0,ABS(INDEX($B$6:$M$17,($Q$3-1-1)*$Q$4+X39+1,0*$Q$5+W39+1))/$Q$19*$Q$13,0)))</f>
        <v>0</v>
      </c>
      <c r="AL39">
        <f>IF(V39=1,0,IF(INDEX($B$6:$M$17,($Q$3-1-1)*$Q$4+X39+1,0*$Q$5+W39+1)="",0,IF(INDEX($B$6:$M$17,($Q$3-1-1)*$Q$4+X39+1,0*$Q$5+W39+1)&lt;0,ABS(INDEX($B$6:$M$17,($Q$3-1-1)*$Q$4+X39+1,0*$Q$5+W39+1))/$Q$19*$Q$13,0)))</f>
        <v>0</v>
      </c>
      <c r="AM39">
        <f>IF(V39=1,0,IF(INDEX($B$6:$M$17,($Q$3-1-2)*$Q$4+X39+1,0*$Q$5+W39+1)="",0,IF(INDEX($B$6:$M$17,($Q$3-1-2)*$Q$4+X39+1,0*$Q$5+W39+1)&gt;=0,ABS(INDEX($B$6:$M$17,($Q$3-1-2)*$Q$4+X39+1,0*$Q$5+W39+1))/$Q$19*$Q$13,0)))</f>
        <v>0</v>
      </c>
      <c r="AN39">
        <f>IF(V39=1,0,IF(INDEX($B$6:$M$17,($Q$3-1-2)*$Q$4+X39+1,0*$Q$5+W39+1)="",0,IF(INDEX($B$6:$M$17,($Q$3-1-2)*$Q$4+X39+1,0*$Q$5+W39+1)&lt;0,ABS(INDEX($B$6:$M$17,($Q$3-1-2)*$Q$4+X39+1,0*$Q$5+W39+1))/$Q$19*$Q$13,0)))</f>
        <v>0</v>
      </c>
      <c r="AO39">
        <f>IF(V39=1,0,IF(INDEX($B$6:$M$17,($Q$3-1-3)*$Q$4+X39+1,0*$Q$5+W39+1)="",0,IF(INDEX($B$6:$M$17,($Q$3-1-3)*$Q$4+X39+1,0*$Q$5+W39+1)&gt;=0,ABS(INDEX($B$6:$M$17,($Q$3-1-3)*$Q$4+X39+1,0*$Q$5+W39+1))/$Q$19*$Q$13,0)))</f>
        <v>0</v>
      </c>
      <c r="AP39">
        <f>IF(V39=1,0,IF(INDEX($B$6:$M$17,($Q$3-1-3)*$Q$4+X39+1,0*$Q$5+W39+1)="",0,IF(INDEX($B$6:$M$17,($Q$3-1-3)*$Q$4+X39+1,0*$Q$5+W39+1)&lt;0,ABS(INDEX($B$6:$M$17,($Q$3-1-3)*$Q$4+X39+1,0*$Q$5+W39+1))/$Q$19*$Q$13,0)))</f>
        <v>0</v>
      </c>
      <c r="AR39" t="str">
        <f>IF(V39=1,"",IF(INDEX($B$6:$M$17,($Q$3-1-0)*$Q$4+X39+1,0*$Q$5+W39+1)="","",IF(INDEX($B$6:$M$17,($Q$3-1-0)*$Q$4+X39+1,0*$Q$5+W39+1)&gt;=0,TEXT(INDEX($B$6:$M$17,($Q$3-1-0)*$Q$4+X39+1,0*$Q$5+W39+1),"+0;-0;0"),"")))</f>
        <v/>
      </c>
      <c r="AS39" t="str">
        <f>IF(V39=1,"",IF(INDEX($B$6:$M$17,($Q$3-1-0)*$Q$4+X39+1,0*$Q$5+W39+1)="","",IF(INDEX($B$6:$M$17,($Q$3-1-0)*$Q$4+X39+1,0*$Q$5+W39+1)&lt;0,TEXT(INDEX($B$6:$M$17,($Q$3-1-0)*$Q$4+X39+1,0*$Q$5+W39+1),"+0;-0;0"),"")))</f>
        <v/>
      </c>
      <c r="AT39" t="str">
        <f>IF(V39=1,"",IF(INDEX($B$6:$M$17,($Q$3-1-1)*$Q$4+X39+1,0*$Q$5+W39+1)="","",IF(INDEX($B$6:$M$17,($Q$3-1-1)*$Q$4+X39+1,0*$Q$5+W39+1)&gt;=0,TEXT(INDEX($B$6:$M$17,($Q$3-1-1)*$Q$4+X39+1,0*$Q$5+W39+1),"+0;-0;0"),"")))</f>
        <v/>
      </c>
      <c r="AU39" t="str">
        <f>IF(V39=1,"",IF(INDEX($B$6:$M$17,($Q$3-1-1)*$Q$4+X39+1,0*$Q$5+W39+1)="","",IF(INDEX($B$6:$M$17,($Q$3-1-1)*$Q$4+X39+1,0*$Q$5+W39+1)&lt;0,TEXT(INDEX($B$6:$M$17,($Q$3-1-1)*$Q$4+X39+1,0*$Q$5+W39+1),"+0;-0;0"),"")))</f>
        <v/>
      </c>
      <c r="AV39" t="str">
        <f>IF(V39=1,"",IF(INDEX($B$6:$M$17,($Q$3-1-2)*$Q$4+X39+1,0*$Q$5+W39+1)="","",IF(INDEX($B$6:$M$17,($Q$3-1-2)*$Q$4+X39+1,0*$Q$5+W39+1)&gt;=0,TEXT(INDEX($B$6:$M$17,($Q$3-1-2)*$Q$4+X39+1,0*$Q$5+W39+1),"+0;-0;0"),"")))</f>
        <v/>
      </c>
      <c r="AW39" t="str">
        <f>IF(V39=1,"",IF(INDEX($B$6:$M$17,($Q$3-1-2)*$Q$4+X39+1,0*$Q$5+W39+1)="","",IF(INDEX($B$6:$M$17,($Q$3-1-2)*$Q$4+X39+1,0*$Q$5+W39+1)&lt;0,TEXT(INDEX($B$6:$M$17,($Q$3-1-2)*$Q$4+X39+1,0*$Q$5+W39+1),"+0;-0;0"),"")))</f>
        <v/>
      </c>
      <c r="AX39" t="str">
        <f>IF(V39=1,"",IF(INDEX($B$6:$M$17,($Q$3-1-3)*$Q$4+X39+1,0*$Q$5+W39+1)="","",IF(INDEX($B$6:$M$17,($Q$3-1-3)*$Q$4+X39+1,0*$Q$5+W39+1)&gt;=0,TEXT(INDEX($B$6:$M$17,($Q$3-1-3)*$Q$4+X39+1,0*$Q$5+W39+1),"+0;-0;0"),"")))</f>
        <v/>
      </c>
      <c r="AY39" t="str">
        <f>IF(V39=1,"",IF(INDEX($B$6:$M$17,($Q$3-1-3)*$Q$4+X39+1,0*$Q$5+W39+1)="","",IF(INDEX($B$6:$M$17,($Q$3-1-3)*$Q$4+X39+1,0*$Q$5+W39+1)&lt;0,TEXT(INDEX($B$6:$M$17,($Q$3-1-3)*$Q$4+X39+1,0*$Q$5+W39+1),"+0;-0;0"),"")))</f>
        <v/>
      </c>
      <c r="BG39">
        <v>29.5</v>
      </c>
      <c r="BH39">
        <f>IF(OR($Q$17&gt;0,$Q$18&lt;0),NA(),1+$Q$20)</f>
        <v>1.41</v>
      </c>
    </row>
    <row r="40" spans="16:68" x14ac:dyDescent="0.35">
      <c r="P40">
        <v>17</v>
      </c>
      <c r="Q40">
        <f>P40-$Q$12</f>
        <v>14</v>
      </c>
      <c r="R40">
        <f>IF(Q40&lt;=0,-1,INT((Q40-1)/($Q$10+$Q$11)))</f>
        <v>1</v>
      </c>
      <c r="S40">
        <f>IF(Q40&lt;=0,-1,MOD(Q40-1,($Q$10+$Q$11)))</f>
        <v>0</v>
      </c>
      <c r="T40">
        <f>IF(OR(S40&lt;0,S40&gt;=$Q$10),-1,INT(S40/$Q$9))</f>
        <v>0</v>
      </c>
      <c r="U40">
        <f>IF(OR(S40&lt;0,S40&gt;=$Q$10),-1,MOD(S40,$Q$9))</f>
        <v>0</v>
      </c>
      <c r="V40">
        <f>IF(OR(Q40&lt;=0,S40&lt;0,S40&gt;=$Q$10,R40&gt;=$Q$7),1,0)</f>
        <v>0</v>
      </c>
      <c r="W40">
        <f>IF(V40=1,-1,T40)</f>
        <v>0</v>
      </c>
      <c r="X40">
        <f>IF(V40=1,-1,R40)</f>
        <v>1</v>
      </c>
      <c r="Y40" t="str">
        <f>IF(V40=1,"",IF(AND(MOD(W40,3)=0,U40=INT(($Q$9-1)/2)),INDEX($B$5:$M$5,W40+1),""))</f>
        <v>Jan</v>
      </c>
      <c r="Z40">
        <f>IF(V40=1,NA(),IF(INDEX($B$6:$M$17,($Q$3-1-0)*$Q$4+X40+1,0*$Q$5+W40+1)="",NA(),IF(INDEX($B$6:$M$17,($Q$3-1-0)*$Q$4+X40+1,0*$Q$5+W40+1)&gt;=0,0+(INDEX($B$6:$M$17,($Q$3-1-0)*$Q$4+X40+1,0*$Q$5+W40+1)-$Q$17)/$Q$19*$Q$13,NA())))</f>
        <v>0.42366666666666669</v>
      </c>
      <c r="AA40" t="e">
        <f>IF(V40=1,NA(),IF(INDEX($B$6:$M$17,($Q$3-1-0)*$Q$4+X40+1,0*$Q$5+W40+1)="",NA(),IF(INDEX($B$6:$M$17,($Q$3-1-0)*$Q$4+X40+1,0*$Q$5+W40+1)&lt;0,0+(INDEX($B$6:$M$17,($Q$3-1-0)*$Q$4+X40+1,0*$Q$5+W40+1)-$Q$17)/$Q$19*$Q$13,NA())))</f>
        <v>#N/A</v>
      </c>
      <c r="AB40" t="e">
        <f>IF(V40=1,NA(),IF(INDEX($B$6:$M$17,($Q$3-1-1)*$Q$4+X40+1,0*$Q$5+W40+1)="",NA(),IF(INDEX($B$6:$M$17,($Q$3-1-1)*$Q$4+X40+1,0*$Q$5+W40+1)&gt;=0,1+(INDEX($B$6:$M$17,($Q$3-1-1)*$Q$4+X40+1,0*$Q$5+W40+1)-$Q$17)/$Q$19*$Q$13,NA())))</f>
        <v>#N/A</v>
      </c>
      <c r="AC40">
        <f>IF(V40=1,NA(),IF(INDEX($B$6:$M$17,($Q$3-1-1)*$Q$4+X40+1,0*$Q$5+W40+1)="",NA(),IF(INDEX($B$6:$M$17,($Q$3-1-1)*$Q$4+X40+1,0*$Q$5+W40+1)&lt;0,1+(INDEX($B$6:$M$17,($Q$3-1-1)*$Q$4+X40+1,0*$Q$5+W40+1)-$Q$17)/$Q$19*$Q$13,NA())))</f>
        <v>1.2323333333333333</v>
      </c>
      <c r="AD40">
        <f>IF(V40=1,NA(),IF(INDEX($B$6:$M$17,($Q$3-1-2)*$Q$4+X40+1,0*$Q$5+W40+1)="",NA(),IF(INDEX($B$6:$M$17,($Q$3-1-2)*$Q$4+X40+1,0*$Q$5+W40+1)&gt;=0,2+(INDEX($B$6:$M$17,($Q$3-1-2)*$Q$4+X40+1,0*$Q$5+W40+1)-$Q$17)/$Q$19*$Q$13,NA())))</f>
        <v>2.4851666666666667</v>
      </c>
      <c r="AE40" t="e">
        <f>IF(V40=1,NA(),IF(INDEX($B$6:$M$17,($Q$3-1-2)*$Q$4+X40+1,0*$Q$5+W40+1)="",NA(),IF(INDEX($B$6:$M$17,($Q$3-1-2)*$Q$4+X40+1,0*$Q$5+W40+1)&lt;0,2+(INDEX($B$6:$M$17,($Q$3-1-2)*$Q$4+X40+1,0*$Q$5+W40+1)-$Q$17)/$Q$19*$Q$13,NA())))</f>
        <v>#N/A</v>
      </c>
      <c r="AF40">
        <f>IF(V40=1,NA(),IF(INDEX($B$6:$M$17,($Q$3-1-3)*$Q$4+X40+1,0*$Q$5+W40+1)="",NA(),IF(INDEX($B$6:$M$17,($Q$3-1-3)*$Q$4+X40+1,0*$Q$5+W40+1)&gt;=0,3+(INDEX($B$6:$M$17,($Q$3-1-3)*$Q$4+X40+1,0*$Q$5+W40+1)-$Q$17)/$Q$19*$Q$13,NA())))</f>
        <v>3.738</v>
      </c>
      <c r="AG40" t="e">
        <f>IF(V40=1,NA(),IF(INDEX($B$6:$M$17,($Q$3-1-3)*$Q$4+X40+1,0*$Q$5+W40+1)="",NA(),IF(INDEX($B$6:$M$17,($Q$3-1-3)*$Q$4+X40+1,0*$Q$5+W40+1)&lt;0,3+(INDEX($B$6:$M$17,($Q$3-1-3)*$Q$4+X40+1,0*$Q$5+W40+1)-$Q$17)/$Q$19*$Q$13,NA())))</f>
        <v>#N/A</v>
      </c>
      <c r="AI40">
        <f>IF(V40=1,0,IF(INDEX($B$6:$M$17,($Q$3-1-0)*$Q$4+X40+1,0*$Q$5+W40+1)="",0,IF(INDEX($B$6:$M$17,($Q$3-1-0)*$Q$4+X40+1,0*$Q$5+W40+1)&gt;=0,ABS(INDEX($B$6:$M$17,($Q$3-1-0)*$Q$4+X40+1,0*$Q$5+W40+1))/$Q$19*$Q$13,0)))</f>
        <v>1.3666666666666666E-2</v>
      </c>
      <c r="AJ40">
        <f>IF(V40=1,0,IF(INDEX($B$6:$M$17,($Q$3-1-0)*$Q$4+X40+1,0*$Q$5+W40+1)="",0,IF(INDEX($B$6:$M$17,($Q$3-1-0)*$Q$4+X40+1,0*$Q$5+W40+1)&lt;0,ABS(INDEX($B$6:$M$17,($Q$3-1-0)*$Q$4+X40+1,0*$Q$5+W40+1))/$Q$19*$Q$13,0)))</f>
        <v>0</v>
      </c>
      <c r="AK40">
        <f>IF(V40=1,0,IF(INDEX($B$6:$M$17,($Q$3-1-1)*$Q$4+X40+1,0*$Q$5+W40+1)="",0,IF(INDEX($B$6:$M$17,($Q$3-1-1)*$Q$4+X40+1,0*$Q$5+W40+1)&gt;=0,ABS(INDEX($B$6:$M$17,($Q$3-1-1)*$Q$4+X40+1,0*$Q$5+W40+1))/$Q$19*$Q$13,0)))</f>
        <v>0</v>
      </c>
      <c r="AL40">
        <f>IF(V40=1,0,IF(INDEX($B$6:$M$17,($Q$3-1-1)*$Q$4+X40+1,0*$Q$5+W40+1)="",0,IF(INDEX($B$6:$M$17,($Q$3-1-1)*$Q$4+X40+1,0*$Q$5+W40+1)&lt;0,ABS(INDEX($B$6:$M$17,($Q$3-1-1)*$Q$4+X40+1,0*$Q$5+W40+1))/$Q$19*$Q$13,0)))</f>
        <v>0.17766666666666667</v>
      </c>
      <c r="AM40">
        <f>IF(V40=1,0,IF(INDEX($B$6:$M$17,($Q$3-1-2)*$Q$4+X40+1,0*$Q$5+W40+1)="",0,IF(INDEX($B$6:$M$17,($Q$3-1-2)*$Q$4+X40+1,0*$Q$5+W40+1)&gt;=0,ABS(INDEX($B$6:$M$17,($Q$3-1-2)*$Q$4+X40+1,0*$Q$5+W40+1))/$Q$19*$Q$13,0)))</f>
        <v>7.5166666666666659E-2</v>
      </c>
      <c r="AN40">
        <f>IF(V40=1,0,IF(INDEX($B$6:$M$17,($Q$3-1-2)*$Q$4+X40+1,0*$Q$5+W40+1)="",0,IF(INDEX($B$6:$M$17,($Q$3-1-2)*$Q$4+X40+1,0*$Q$5+W40+1)&lt;0,ABS(INDEX($B$6:$M$17,($Q$3-1-2)*$Q$4+X40+1,0*$Q$5+W40+1))/$Q$19*$Q$13,0)))</f>
        <v>0</v>
      </c>
      <c r="AO40">
        <f>IF(V40=1,0,IF(INDEX($B$6:$M$17,($Q$3-1-3)*$Q$4+X40+1,0*$Q$5+W40+1)="",0,IF(INDEX($B$6:$M$17,($Q$3-1-3)*$Q$4+X40+1,0*$Q$5+W40+1)&gt;=0,ABS(INDEX($B$6:$M$17,($Q$3-1-3)*$Q$4+X40+1,0*$Q$5+W40+1))/$Q$19*$Q$13,0)))</f>
        <v>0.32800000000000001</v>
      </c>
      <c r="AP40">
        <f>IF(V40=1,0,IF(INDEX($B$6:$M$17,($Q$3-1-3)*$Q$4+X40+1,0*$Q$5+W40+1)="",0,IF(INDEX($B$6:$M$17,($Q$3-1-3)*$Q$4+X40+1,0*$Q$5+W40+1)&lt;0,ABS(INDEX($B$6:$M$17,($Q$3-1-3)*$Q$4+X40+1,0*$Q$5+W40+1))/$Q$19*$Q$13,0)))</f>
        <v>0</v>
      </c>
      <c r="AR40" t="str">
        <f>IF(V40=1,"",IF(INDEX($B$6:$M$17,($Q$3-1-0)*$Q$4+X40+1,0*$Q$5+W40+1)="","",IF(INDEX($B$6:$M$17,($Q$3-1-0)*$Q$4+X40+1,0*$Q$5+W40+1)&gt;=0,TEXT(INDEX($B$6:$M$17,($Q$3-1-0)*$Q$4+X40+1,0*$Q$5+W40+1),"+0;-0;0"),"")))</f>
        <v>+1</v>
      </c>
      <c r="AS40" t="str">
        <f>IF(V40=1,"",IF(INDEX($B$6:$M$17,($Q$3-1-0)*$Q$4+X40+1,0*$Q$5+W40+1)="","",IF(INDEX($B$6:$M$17,($Q$3-1-0)*$Q$4+X40+1,0*$Q$5+W40+1)&lt;0,TEXT(INDEX($B$6:$M$17,($Q$3-1-0)*$Q$4+X40+1,0*$Q$5+W40+1),"+0;-0;0"),"")))</f>
        <v/>
      </c>
      <c r="AT40" t="str">
        <f>IF(V40=1,"",IF(INDEX($B$6:$M$17,($Q$3-1-1)*$Q$4+X40+1,0*$Q$5+W40+1)="","",IF(INDEX($B$6:$M$17,($Q$3-1-1)*$Q$4+X40+1,0*$Q$5+W40+1)&gt;=0,TEXT(INDEX($B$6:$M$17,($Q$3-1-1)*$Q$4+X40+1,0*$Q$5+W40+1),"+0;-0;0"),"")))</f>
        <v/>
      </c>
      <c r="AU40" t="str">
        <f>IF(V40=1,"",IF(INDEX($B$6:$M$17,($Q$3-1-1)*$Q$4+X40+1,0*$Q$5+W40+1)="","",IF(INDEX($B$6:$M$17,($Q$3-1-1)*$Q$4+X40+1,0*$Q$5+W40+1)&lt;0,TEXT(INDEX($B$6:$M$17,($Q$3-1-1)*$Q$4+X40+1,0*$Q$5+W40+1),"+0;-0;0"),"")))</f>
        <v>-13</v>
      </c>
      <c r="AV40" t="str">
        <f>IF(V40=1,"",IF(INDEX($B$6:$M$17,($Q$3-1-2)*$Q$4+X40+1,0*$Q$5+W40+1)="","",IF(INDEX($B$6:$M$17,($Q$3-1-2)*$Q$4+X40+1,0*$Q$5+W40+1)&gt;=0,TEXT(INDEX($B$6:$M$17,($Q$3-1-2)*$Q$4+X40+1,0*$Q$5+W40+1),"+0;-0;0"),"")))</f>
        <v>+6</v>
      </c>
      <c r="AW40" t="str">
        <f>IF(V40=1,"",IF(INDEX($B$6:$M$17,($Q$3-1-2)*$Q$4+X40+1,0*$Q$5+W40+1)="","",IF(INDEX($B$6:$M$17,($Q$3-1-2)*$Q$4+X40+1,0*$Q$5+W40+1)&lt;0,TEXT(INDEX($B$6:$M$17,($Q$3-1-2)*$Q$4+X40+1,0*$Q$5+W40+1),"+0;-0;0"),"")))</f>
        <v/>
      </c>
      <c r="AX40" t="str">
        <f>IF(V40=1,"",IF(INDEX($B$6:$M$17,($Q$3-1-3)*$Q$4+X40+1,0*$Q$5+W40+1)="","",IF(INDEX($B$6:$M$17,($Q$3-1-3)*$Q$4+X40+1,0*$Q$5+W40+1)&gt;=0,TEXT(INDEX($B$6:$M$17,($Q$3-1-3)*$Q$4+X40+1,0*$Q$5+W40+1),"+0;-0;0"),"")))</f>
        <v>+24</v>
      </c>
      <c r="AY40" t="str">
        <f>IF(V40=1,"",IF(INDEX($B$6:$M$17,($Q$3-1-3)*$Q$4+X40+1,0*$Q$5+W40+1)="","",IF(INDEX($B$6:$M$17,($Q$3-1-3)*$Q$4+X40+1,0*$Q$5+W40+1)&lt;0,TEXT(INDEX($B$6:$M$17,($Q$3-1-3)*$Q$4+X40+1,0*$Q$5+W40+1),"+0;-0;0"),"")))</f>
        <v/>
      </c>
      <c r="BG40">
        <v>41.5</v>
      </c>
      <c r="BH40">
        <f>IF(OR($Q$17&gt;0,$Q$18&lt;0),NA(),1+$Q$20)</f>
        <v>1.41</v>
      </c>
    </row>
    <row r="41" spans="16:68" x14ac:dyDescent="0.35">
      <c r="P41">
        <v>18</v>
      </c>
      <c r="Q41">
        <f>P41-$Q$12</f>
        <v>15</v>
      </c>
      <c r="R41">
        <f>IF(Q41&lt;=0,-1,INT((Q41-1)/($Q$10+$Q$11)))</f>
        <v>1</v>
      </c>
      <c r="S41">
        <f>IF(Q41&lt;=0,-1,MOD(Q41-1,($Q$10+$Q$11)))</f>
        <v>1</v>
      </c>
      <c r="T41">
        <f>IF(OR(S41&lt;0,S41&gt;=$Q$10),-1,INT(S41/$Q$9))</f>
        <v>1</v>
      </c>
      <c r="U41">
        <f>IF(OR(S41&lt;0,S41&gt;=$Q$10),-1,MOD(S41,$Q$9))</f>
        <v>0</v>
      </c>
      <c r="V41">
        <f>IF(OR(Q41&lt;=0,S41&lt;0,S41&gt;=$Q$10,R41&gt;=$Q$7),1,0)</f>
        <v>0</v>
      </c>
      <c r="W41">
        <f>IF(V41=1,-1,T41)</f>
        <v>1</v>
      </c>
      <c r="X41">
        <f>IF(V41=1,-1,R41)</f>
        <v>1</v>
      </c>
      <c r="Y41" t="str">
        <f>IF(V41=1,"",IF(AND(MOD(W41,3)=0,U41=INT(($Q$9-1)/2)),INDEX($B$5:$M$5,W41+1),""))</f>
        <v/>
      </c>
      <c r="Z41">
        <f>IF(V41=1,NA(),IF(INDEX($B$6:$M$17,($Q$3-1-0)*$Q$4+X41+1,0*$Q$5+W41+1)="",NA(),IF(INDEX($B$6:$M$17,($Q$3-1-0)*$Q$4+X41+1,0*$Q$5+W41+1)&gt;=0,0+(INDEX($B$6:$M$17,($Q$3-1-0)*$Q$4+X41+1,0*$Q$5+W41+1)-$Q$17)/$Q$19*$Q$13,NA())))</f>
        <v>0.62866666666666671</v>
      </c>
      <c r="AA41" t="e">
        <f>IF(V41=1,NA(),IF(INDEX($B$6:$M$17,($Q$3-1-0)*$Q$4+X41+1,0*$Q$5+W41+1)="",NA(),IF(INDEX($B$6:$M$17,($Q$3-1-0)*$Q$4+X41+1,0*$Q$5+W41+1)&lt;0,0+(INDEX($B$6:$M$17,($Q$3-1-0)*$Q$4+X41+1,0*$Q$5+W41+1)-$Q$17)/$Q$19*$Q$13,NA())))</f>
        <v>#N/A</v>
      </c>
      <c r="AB41">
        <f>IF(V41=1,NA(),IF(INDEX($B$6:$M$17,($Q$3-1-1)*$Q$4+X41+1,0*$Q$5+W41+1)="",NA(),IF(INDEX($B$6:$M$17,($Q$3-1-1)*$Q$4+X41+1,0*$Q$5+W41+1)&gt;=0,1+(INDEX($B$6:$M$17,($Q$3-1-1)*$Q$4+X41+1,0*$Q$5+W41+1)-$Q$17)/$Q$19*$Q$13,NA())))</f>
        <v>1.4373333333333334</v>
      </c>
      <c r="AC41" t="e">
        <f>IF(V41=1,NA(),IF(INDEX($B$6:$M$17,($Q$3-1-1)*$Q$4+X41+1,0*$Q$5+W41+1)="",NA(),IF(INDEX($B$6:$M$17,($Q$3-1-1)*$Q$4+X41+1,0*$Q$5+W41+1)&lt;0,1+(INDEX($B$6:$M$17,($Q$3-1-1)*$Q$4+X41+1,0*$Q$5+W41+1)-$Q$17)/$Q$19*$Q$13,NA())))</f>
        <v>#N/A</v>
      </c>
      <c r="AD41" t="e">
        <f>IF(V41=1,NA(),IF(INDEX($B$6:$M$17,($Q$3-1-2)*$Q$4+X41+1,0*$Q$5+W41+1)="",NA(),IF(INDEX($B$6:$M$17,($Q$3-1-2)*$Q$4+X41+1,0*$Q$5+W41+1)&gt;=0,2+(INDEX($B$6:$M$17,($Q$3-1-2)*$Q$4+X41+1,0*$Q$5+W41+1)-$Q$17)/$Q$19*$Q$13,NA())))</f>
        <v>#N/A</v>
      </c>
      <c r="AE41">
        <f>IF(V41=1,NA(),IF(INDEX($B$6:$M$17,($Q$3-1-2)*$Q$4+X41+1,0*$Q$5+W41+1)="",NA(),IF(INDEX($B$6:$M$17,($Q$3-1-2)*$Q$4+X41+1,0*$Q$5+W41+1)&lt;0,2+(INDEX($B$6:$M$17,($Q$3-1-2)*$Q$4+X41+1,0*$Q$5+W41+1)-$Q$17)/$Q$19*$Q$13,NA())))</f>
        <v>2.2391666666666667</v>
      </c>
      <c r="AF41">
        <f>IF(V41=1,NA(),IF(INDEX($B$6:$M$17,($Q$3-1-3)*$Q$4+X41+1,0*$Q$5+W41+1)="",NA(),IF(INDEX($B$6:$M$17,($Q$3-1-3)*$Q$4+X41+1,0*$Q$5+W41+1)&gt;=0,3+(INDEX($B$6:$M$17,($Q$3-1-3)*$Q$4+X41+1,0*$Q$5+W41+1)-$Q$17)/$Q$19*$Q$13,NA())))</f>
        <v>3.492</v>
      </c>
      <c r="AG41" t="e">
        <f>IF(V41=1,NA(),IF(INDEX($B$6:$M$17,($Q$3-1-3)*$Q$4+X41+1,0*$Q$5+W41+1)="",NA(),IF(INDEX($B$6:$M$17,($Q$3-1-3)*$Q$4+X41+1,0*$Q$5+W41+1)&lt;0,3+(INDEX($B$6:$M$17,($Q$3-1-3)*$Q$4+X41+1,0*$Q$5+W41+1)-$Q$17)/$Q$19*$Q$13,NA())))</f>
        <v>#N/A</v>
      </c>
      <c r="AI41">
        <f>IF(V41=1,0,IF(INDEX($B$6:$M$17,($Q$3-1-0)*$Q$4+X41+1,0*$Q$5+W41+1)="",0,IF(INDEX($B$6:$M$17,($Q$3-1-0)*$Q$4+X41+1,0*$Q$5+W41+1)&gt;=0,ABS(INDEX($B$6:$M$17,($Q$3-1-0)*$Q$4+X41+1,0*$Q$5+W41+1))/$Q$19*$Q$13,0)))</f>
        <v>0.21866666666666665</v>
      </c>
      <c r="AJ41">
        <f>IF(V41=1,0,IF(INDEX($B$6:$M$17,($Q$3-1-0)*$Q$4+X41+1,0*$Q$5+W41+1)="",0,IF(INDEX($B$6:$M$17,($Q$3-1-0)*$Q$4+X41+1,0*$Q$5+W41+1)&lt;0,ABS(INDEX($B$6:$M$17,($Q$3-1-0)*$Q$4+X41+1,0*$Q$5+W41+1))/$Q$19*$Q$13,0)))</f>
        <v>0</v>
      </c>
      <c r="AK41">
        <f>IF(V41=1,0,IF(INDEX($B$6:$M$17,($Q$3-1-1)*$Q$4+X41+1,0*$Q$5+W41+1)="",0,IF(INDEX($B$6:$M$17,($Q$3-1-1)*$Q$4+X41+1,0*$Q$5+W41+1)&gt;=0,ABS(INDEX($B$6:$M$17,($Q$3-1-1)*$Q$4+X41+1,0*$Q$5+W41+1))/$Q$19*$Q$13,0)))</f>
        <v>2.7333333333333331E-2</v>
      </c>
      <c r="AL41">
        <f>IF(V41=1,0,IF(INDEX($B$6:$M$17,($Q$3-1-1)*$Q$4+X41+1,0*$Q$5+W41+1)="",0,IF(INDEX($B$6:$M$17,($Q$3-1-1)*$Q$4+X41+1,0*$Q$5+W41+1)&lt;0,ABS(INDEX($B$6:$M$17,($Q$3-1-1)*$Q$4+X41+1,0*$Q$5+W41+1))/$Q$19*$Q$13,0)))</f>
        <v>0</v>
      </c>
      <c r="AM41">
        <f>IF(V41=1,0,IF(INDEX($B$6:$M$17,($Q$3-1-2)*$Q$4+X41+1,0*$Q$5+W41+1)="",0,IF(INDEX($B$6:$M$17,($Q$3-1-2)*$Q$4+X41+1,0*$Q$5+W41+1)&gt;=0,ABS(INDEX($B$6:$M$17,($Q$3-1-2)*$Q$4+X41+1,0*$Q$5+W41+1))/$Q$19*$Q$13,0)))</f>
        <v>0</v>
      </c>
      <c r="AN41">
        <f>IF(V41=1,0,IF(INDEX($B$6:$M$17,($Q$3-1-2)*$Q$4+X41+1,0*$Q$5+W41+1)="",0,IF(INDEX($B$6:$M$17,($Q$3-1-2)*$Q$4+X41+1,0*$Q$5+W41+1)&lt;0,ABS(INDEX($B$6:$M$17,($Q$3-1-2)*$Q$4+X41+1,0*$Q$5+W41+1))/$Q$19*$Q$13,0)))</f>
        <v>0.17083333333333334</v>
      </c>
      <c r="AO41">
        <f>IF(V41=1,0,IF(INDEX($B$6:$M$17,($Q$3-1-3)*$Q$4+X41+1,0*$Q$5+W41+1)="",0,IF(INDEX($B$6:$M$17,($Q$3-1-3)*$Q$4+X41+1,0*$Q$5+W41+1)&gt;=0,ABS(INDEX($B$6:$M$17,($Q$3-1-3)*$Q$4+X41+1,0*$Q$5+W41+1))/$Q$19*$Q$13,0)))</f>
        <v>8.2000000000000003E-2</v>
      </c>
      <c r="AP41">
        <f>IF(V41=1,0,IF(INDEX($B$6:$M$17,($Q$3-1-3)*$Q$4+X41+1,0*$Q$5+W41+1)="",0,IF(INDEX($B$6:$M$17,($Q$3-1-3)*$Q$4+X41+1,0*$Q$5+W41+1)&lt;0,ABS(INDEX($B$6:$M$17,($Q$3-1-3)*$Q$4+X41+1,0*$Q$5+W41+1))/$Q$19*$Q$13,0)))</f>
        <v>0</v>
      </c>
      <c r="AR41" t="str">
        <f>IF(V41=1,"",IF(INDEX($B$6:$M$17,($Q$3-1-0)*$Q$4+X41+1,0*$Q$5+W41+1)="","",IF(INDEX($B$6:$M$17,($Q$3-1-0)*$Q$4+X41+1,0*$Q$5+W41+1)&gt;=0,TEXT(INDEX($B$6:$M$17,($Q$3-1-0)*$Q$4+X41+1,0*$Q$5+W41+1),"+0;-0;0"),"")))</f>
        <v>+16</v>
      </c>
      <c r="AS41" t="str">
        <f>IF(V41=1,"",IF(INDEX($B$6:$M$17,($Q$3-1-0)*$Q$4+X41+1,0*$Q$5+W41+1)="","",IF(INDEX($B$6:$M$17,($Q$3-1-0)*$Q$4+X41+1,0*$Q$5+W41+1)&lt;0,TEXT(INDEX($B$6:$M$17,($Q$3-1-0)*$Q$4+X41+1,0*$Q$5+W41+1),"+0;-0;0"),"")))</f>
        <v/>
      </c>
      <c r="AT41" t="str">
        <f>IF(V41=1,"",IF(INDEX($B$6:$M$17,($Q$3-1-1)*$Q$4+X41+1,0*$Q$5+W41+1)="","",IF(INDEX($B$6:$M$17,($Q$3-1-1)*$Q$4+X41+1,0*$Q$5+W41+1)&gt;=0,TEXT(INDEX($B$6:$M$17,($Q$3-1-1)*$Q$4+X41+1,0*$Q$5+W41+1),"+0;-0;0"),"")))</f>
        <v>+2</v>
      </c>
      <c r="AU41" t="str">
        <f>IF(V41=1,"",IF(INDEX($B$6:$M$17,($Q$3-1-1)*$Q$4+X41+1,0*$Q$5+W41+1)="","",IF(INDEX($B$6:$M$17,($Q$3-1-1)*$Q$4+X41+1,0*$Q$5+W41+1)&lt;0,TEXT(INDEX($B$6:$M$17,($Q$3-1-1)*$Q$4+X41+1,0*$Q$5+W41+1),"+0;-0;0"),"")))</f>
        <v/>
      </c>
      <c r="AV41" t="str">
        <f>IF(V41=1,"",IF(INDEX($B$6:$M$17,($Q$3-1-2)*$Q$4+X41+1,0*$Q$5+W41+1)="","",IF(INDEX($B$6:$M$17,($Q$3-1-2)*$Q$4+X41+1,0*$Q$5+W41+1)&gt;=0,TEXT(INDEX($B$6:$M$17,($Q$3-1-2)*$Q$4+X41+1,0*$Q$5+W41+1),"+0;-0;0"),"")))</f>
        <v/>
      </c>
      <c r="AW41" t="str">
        <f>IF(V41=1,"",IF(INDEX($B$6:$M$17,($Q$3-1-2)*$Q$4+X41+1,0*$Q$5+W41+1)="","",IF(INDEX($B$6:$M$17,($Q$3-1-2)*$Q$4+X41+1,0*$Q$5+W41+1)&lt;0,TEXT(INDEX($B$6:$M$17,($Q$3-1-2)*$Q$4+X41+1,0*$Q$5+W41+1),"+0;-0;0"),"")))</f>
        <v>-13</v>
      </c>
      <c r="AX41" t="str">
        <f>IF(V41=1,"",IF(INDEX($B$6:$M$17,($Q$3-1-3)*$Q$4+X41+1,0*$Q$5+W41+1)="","",IF(INDEX($B$6:$M$17,($Q$3-1-3)*$Q$4+X41+1,0*$Q$5+W41+1)&gt;=0,TEXT(INDEX($B$6:$M$17,($Q$3-1-3)*$Q$4+X41+1,0*$Q$5+W41+1),"+0;-0;0"),"")))</f>
        <v>+6</v>
      </c>
      <c r="AY41" t="str">
        <f>IF(V41=1,"",IF(INDEX($B$6:$M$17,($Q$3-1-3)*$Q$4+X41+1,0*$Q$5+W41+1)="","",IF(INDEX($B$6:$M$17,($Q$3-1-3)*$Q$4+X41+1,0*$Q$5+W41+1)&lt;0,TEXT(INDEX($B$6:$M$17,($Q$3-1-3)*$Q$4+X41+1,0*$Q$5+W41+1),"+0;-0;0"),"")))</f>
        <v/>
      </c>
      <c r="BG41">
        <v>41.5</v>
      </c>
      <c r="BH41" t="e">
        <f>NA()</f>
        <v>#N/A</v>
      </c>
    </row>
    <row r="42" spans="16:68" x14ac:dyDescent="0.35">
      <c r="P42">
        <v>19</v>
      </c>
      <c r="Q42">
        <f>P42-$Q$12</f>
        <v>16</v>
      </c>
      <c r="R42">
        <f>IF(Q42&lt;=0,-1,INT((Q42-1)/($Q$10+$Q$11)))</f>
        <v>1</v>
      </c>
      <c r="S42">
        <f>IF(Q42&lt;=0,-1,MOD(Q42-1,($Q$10+$Q$11)))</f>
        <v>2</v>
      </c>
      <c r="T42">
        <f>IF(OR(S42&lt;0,S42&gt;=$Q$10),-1,INT(S42/$Q$9))</f>
        <v>2</v>
      </c>
      <c r="U42">
        <f>IF(OR(S42&lt;0,S42&gt;=$Q$10),-1,MOD(S42,$Q$9))</f>
        <v>0</v>
      </c>
      <c r="V42">
        <f>IF(OR(Q42&lt;=0,S42&lt;0,S42&gt;=$Q$10,R42&gt;=$Q$7),1,0)</f>
        <v>0</v>
      </c>
      <c r="W42">
        <f>IF(V42=1,-1,T42)</f>
        <v>2</v>
      </c>
      <c r="X42">
        <f>IF(V42=1,-1,R42)</f>
        <v>1</v>
      </c>
      <c r="Y42" t="str">
        <f>IF(V42=1,"",IF(AND(MOD(W42,3)=0,U42=INT(($Q$9-1)/2)),INDEX($B$5:$M$5,W42+1),""))</f>
        <v/>
      </c>
      <c r="Z42" t="e">
        <f>IF(V42=1,NA(),IF(INDEX($B$6:$M$17,($Q$3-1-0)*$Q$4+X42+1,0*$Q$5+W42+1)="",NA(),IF(INDEX($B$6:$M$17,($Q$3-1-0)*$Q$4+X42+1,0*$Q$5+W42+1)&gt;=0,0+(INDEX($B$6:$M$17,($Q$3-1-0)*$Q$4+X42+1,0*$Q$5+W42+1)-$Q$17)/$Q$19*$Q$13,NA())))</f>
        <v>#N/A</v>
      </c>
      <c r="AA42">
        <f>IF(V42=1,NA(),IF(INDEX($B$6:$M$17,($Q$3-1-0)*$Q$4+X42+1,0*$Q$5+W42+1)="",NA(),IF(INDEX($B$6:$M$17,($Q$3-1-0)*$Q$4+X42+1,0*$Q$5+W42+1)&lt;0,0+(INDEX($B$6:$M$17,($Q$3-1-0)*$Q$4+X42+1,0*$Q$5+W42+1)-$Q$17)/$Q$19*$Q$13,NA())))</f>
        <v>0.38266666666666665</v>
      </c>
      <c r="AB42" t="e">
        <f>IF(V42=1,NA(),IF(INDEX($B$6:$M$17,($Q$3-1-1)*$Q$4+X42+1,0*$Q$5+W42+1)="",NA(),IF(INDEX($B$6:$M$17,($Q$3-1-1)*$Q$4+X42+1,0*$Q$5+W42+1)&gt;=0,1+(INDEX($B$6:$M$17,($Q$3-1-1)*$Q$4+X42+1,0*$Q$5+W42+1)-$Q$17)/$Q$19*$Q$13,NA())))</f>
        <v>#N/A</v>
      </c>
      <c r="AC42">
        <f>IF(V42=1,NA(),IF(INDEX($B$6:$M$17,($Q$3-1-1)*$Q$4+X42+1,0*$Q$5+W42+1)="",NA(),IF(INDEX($B$6:$M$17,($Q$3-1-1)*$Q$4+X42+1,0*$Q$5+W42+1)&lt;0,1+(INDEX($B$6:$M$17,($Q$3-1-1)*$Q$4+X42+1,0*$Q$5+W42+1)-$Q$17)/$Q$19*$Q$13,NA())))</f>
        <v>1.1913333333333334</v>
      </c>
      <c r="AD42">
        <f>IF(V42=1,NA(),IF(INDEX($B$6:$M$17,($Q$3-1-2)*$Q$4+X42+1,0*$Q$5+W42+1)="",NA(),IF(INDEX($B$6:$M$17,($Q$3-1-2)*$Q$4+X42+1,0*$Q$5+W42+1)&gt;=0,2+(INDEX($B$6:$M$17,($Q$3-1-2)*$Q$4+X42+1,0*$Q$5+W42+1)-$Q$17)/$Q$19*$Q$13,NA())))</f>
        <v>2.4441666666666668</v>
      </c>
      <c r="AE42" t="e">
        <f>IF(V42=1,NA(),IF(INDEX($B$6:$M$17,($Q$3-1-2)*$Q$4+X42+1,0*$Q$5+W42+1)="",NA(),IF(INDEX($B$6:$M$17,($Q$3-1-2)*$Q$4+X42+1,0*$Q$5+W42+1)&lt;0,2+(INDEX($B$6:$M$17,($Q$3-1-2)*$Q$4+X42+1,0*$Q$5+W42+1)-$Q$17)/$Q$19*$Q$13,NA())))</f>
        <v>#N/A</v>
      </c>
      <c r="AF42">
        <f>IF(V42=1,NA(),IF(INDEX($B$6:$M$17,($Q$3-1-3)*$Q$4+X42+1,0*$Q$5+W42+1)="",NA(),IF(INDEX($B$6:$M$17,($Q$3-1-3)*$Q$4+X42+1,0*$Q$5+W42+1)&gt;=0,3+(INDEX($B$6:$M$17,($Q$3-1-3)*$Q$4+X42+1,0*$Q$5+W42+1)-$Q$17)/$Q$19*$Q$13,NA())))</f>
        <v>3.6970000000000001</v>
      </c>
      <c r="AG42" t="e">
        <f>IF(V42=1,NA(),IF(INDEX($B$6:$M$17,($Q$3-1-3)*$Q$4+X42+1,0*$Q$5+W42+1)="",NA(),IF(INDEX($B$6:$M$17,($Q$3-1-3)*$Q$4+X42+1,0*$Q$5+W42+1)&lt;0,3+(INDEX($B$6:$M$17,($Q$3-1-3)*$Q$4+X42+1,0*$Q$5+W42+1)-$Q$17)/$Q$19*$Q$13,NA())))</f>
        <v>#N/A</v>
      </c>
      <c r="AI42">
        <f>IF(V42=1,0,IF(INDEX($B$6:$M$17,($Q$3-1-0)*$Q$4+X42+1,0*$Q$5+W42+1)="",0,IF(INDEX($B$6:$M$17,($Q$3-1-0)*$Q$4+X42+1,0*$Q$5+W42+1)&gt;=0,ABS(INDEX($B$6:$M$17,($Q$3-1-0)*$Q$4+X42+1,0*$Q$5+W42+1))/$Q$19*$Q$13,0)))</f>
        <v>0</v>
      </c>
      <c r="AJ42">
        <f>IF(V42=1,0,IF(INDEX($B$6:$M$17,($Q$3-1-0)*$Q$4+X42+1,0*$Q$5+W42+1)="",0,IF(INDEX($B$6:$M$17,($Q$3-1-0)*$Q$4+X42+1,0*$Q$5+W42+1)&lt;0,ABS(INDEX($B$6:$M$17,($Q$3-1-0)*$Q$4+X42+1,0*$Q$5+W42+1))/$Q$19*$Q$13,0)))</f>
        <v>2.7333333333333331E-2</v>
      </c>
      <c r="AK42">
        <f>IF(V42=1,0,IF(INDEX($B$6:$M$17,($Q$3-1-1)*$Q$4+X42+1,0*$Q$5+W42+1)="",0,IF(INDEX($B$6:$M$17,($Q$3-1-1)*$Q$4+X42+1,0*$Q$5+W42+1)&gt;=0,ABS(INDEX($B$6:$M$17,($Q$3-1-1)*$Q$4+X42+1,0*$Q$5+W42+1))/$Q$19*$Q$13,0)))</f>
        <v>0</v>
      </c>
      <c r="AL42">
        <f>IF(V42=1,0,IF(INDEX($B$6:$M$17,($Q$3-1-1)*$Q$4+X42+1,0*$Q$5+W42+1)="",0,IF(INDEX($B$6:$M$17,($Q$3-1-1)*$Q$4+X42+1,0*$Q$5+W42+1)&lt;0,ABS(INDEX($B$6:$M$17,($Q$3-1-1)*$Q$4+X42+1,0*$Q$5+W42+1))/$Q$19*$Q$13,0)))</f>
        <v>0.21866666666666665</v>
      </c>
      <c r="AM42">
        <f>IF(V42=1,0,IF(INDEX($B$6:$M$17,($Q$3-1-2)*$Q$4+X42+1,0*$Q$5+W42+1)="",0,IF(INDEX($B$6:$M$17,($Q$3-1-2)*$Q$4+X42+1,0*$Q$5+W42+1)&gt;=0,ABS(INDEX($B$6:$M$17,($Q$3-1-2)*$Q$4+X42+1,0*$Q$5+W42+1))/$Q$19*$Q$13,0)))</f>
        <v>3.4166666666666665E-2</v>
      </c>
      <c r="AN42">
        <f>IF(V42=1,0,IF(INDEX($B$6:$M$17,($Q$3-1-2)*$Q$4+X42+1,0*$Q$5+W42+1)="",0,IF(INDEX($B$6:$M$17,($Q$3-1-2)*$Q$4+X42+1,0*$Q$5+W42+1)&lt;0,ABS(INDEX($B$6:$M$17,($Q$3-1-2)*$Q$4+X42+1,0*$Q$5+W42+1))/$Q$19*$Q$13,0)))</f>
        <v>0</v>
      </c>
      <c r="AO42">
        <f>IF(V42=1,0,IF(INDEX($B$6:$M$17,($Q$3-1-3)*$Q$4+X42+1,0*$Q$5+W42+1)="",0,IF(INDEX($B$6:$M$17,($Q$3-1-3)*$Q$4+X42+1,0*$Q$5+W42+1)&gt;=0,ABS(INDEX($B$6:$M$17,($Q$3-1-3)*$Q$4+X42+1,0*$Q$5+W42+1))/$Q$19*$Q$13,0)))</f>
        <v>0.28699999999999998</v>
      </c>
      <c r="AP42">
        <f>IF(V42=1,0,IF(INDEX($B$6:$M$17,($Q$3-1-3)*$Q$4+X42+1,0*$Q$5+W42+1)="",0,IF(INDEX($B$6:$M$17,($Q$3-1-3)*$Q$4+X42+1,0*$Q$5+W42+1)&lt;0,ABS(INDEX($B$6:$M$17,($Q$3-1-3)*$Q$4+X42+1,0*$Q$5+W42+1))/$Q$19*$Q$13,0)))</f>
        <v>0</v>
      </c>
      <c r="AR42" t="str">
        <f>IF(V42=1,"",IF(INDEX($B$6:$M$17,($Q$3-1-0)*$Q$4+X42+1,0*$Q$5+W42+1)="","",IF(INDEX($B$6:$M$17,($Q$3-1-0)*$Q$4+X42+1,0*$Q$5+W42+1)&gt;=0,TEXT(INDEX($B$6:$M$17,($Q$3-1-0)*$Q$4+X42+1,0*$Q$5+W42+1),"+0;-0;0"),"")))</f>
        <v/>
      </c>
      <c r="AS42" t="str">
        <f>IF(V42=1,"",IF(INDEX($B$6:$M$17,($Q$3-1-0)*$Q$4+X42+1,0*$Q$5+W42+1)="","",IF(INDEX($B$6:$M$17,($Q$3-1-0)*$Q$4+X42+1,0*$Q$5+W42+1)&lt;0,TEXT(INDEX($B$6:$M$17,($Q$3-1-0)*$Q$4+X42+1,0*$Q$5+W42+1),"+0;-0;0"),"")))</f>
        <v>-2</v>
      </c>
      <c r="AT42" t="str">
        <f>IF(V42=1,"",IF(INDEX($B$6:$M$17,($Q$3-1-1)*$Q$4+X42+1,0*$Q$5+W42+1)="","",IF(INDEX($B$6:$M$17,($Q$3-1-1)*$Q$4+X42+1,0*$Q$5+W42+1)&gt;=0,TEXT(INDEX($B$6:$M$17,($Q$3-1-1)*$Q$4+X42+1,0*$Q$5+W42+1),"+0;-0;0"),"")))</f>
        <v/>
      </c>
      <c r="AU42" t="str">
        <f>IF(V42=1,"",IF(INDEX($B$6:$M$17,($Q$3-1-1)*$Q$4+X42+1,0*$Q$5+W42+1)="","",IF(INDEX($B$6:$M$17,($Q$3-1-1)*$Q$4+X42+1,0*$Q$5+W42+1)&lt;0,TEXT(INDEX($B$6:$M$17,($Q$3-1-1)*$Q$4+X42+1,0*$Q$5+W42+1),"+0;-0;0"),"")))</f>
        <v>-16</v>
      </c>
      <c r="AV42" t="str">
        <f>IF(V42=1,"",IF(INDEX($B$6:$M$17,($Q$3-1-2)*$Q$4+X42+1,0*$Q$5+W42+1)="","",IF(INDEX($B$6:$M$17,($Q$3-1-2)*$Q$4+X42+1,0*$Q$5+W42+1)&gt;=0,TEXT(INDEX($B$6:$M$17,($Q$3-1-2)*$Q$4+X42+1,0*$Q$5+W42+1),"+0;-0;0"),"")))</f>
        <v>+3</v>
      </c>
      <c r="AW42" t="str">
        <f>IF(V42=1,"",IF(INDEX($B$6:$M$17,($Q$3-1-2)*$Q$4+X42+1,0*$Q$5+W42+1)="","",IF(INDEX($B$6:$M$17,($Q$3-1-2)*$Q$4+X42+1,0*$Q$5+W42+1)&lt;0,TEXT(INDEX($B$6:$M$17,($Q$3-1-2)*$Q$4+X42+1,0*$Q$5+W42+1),"+0;-0;0"),"")))</f>
        <v/>
      </c>
      <c r="AX42" t="str">
        <f>IF(V42=1,"",IF(INDEX($B$6:$M$17,($Q$3-1-3)*$Q$4+X42+1,0*$Q$5+W42+1)="","",IF(INDEX($B$6:$M$17,($Q$3-1-3)*$Q$4+X42+1,0*$Q$5+W42+1)&gt;=0,TEXT(INDEX($B$6:$M$17,($Q$3-1-3)*$Q$4+X42+1,0*$Q$5+W42+1),"+0;-0;0"),"")))</f>
        <v>+21</v>
      </c>
      <c r="AY42" t="str">
        <f>IF(V42=1,"",IF(INDEX($B$6:$M$17,($Q$3-1-3)*$Q$4+X42+1,0*$Q$5+W42+1)="","",IF(INDEX($B$6:$M$17,($Q$3-1-3)*$Q$4+X42+1,0*$Q$5+W42+1)&lt;0,TEXT(INDEX($B$6:$M$17,($Q$3-1-3)*$Q$4+X42+1,0*$Q$5+W42+1),"+0;-0;0"),"")))</f>
        <v/>
      </c>
      <c r="BG42">
        <v>3.5</v>
      </c>
      <c r="BH42">
        <f>IF(OR($Q$17&gt;0,$Q$18&lt;0),NA(),2+$Q$20)</f>
        <v>2.41</v>
      </c>
    </row>
    <row r="43" spans="16:68" x14ac:dyDescent="0.35">
      <c r="P43">
        <v>20</v>
      </c>
      <c r="Q43">
        <f>P43-$Q$12</f>
        <v>17</v>
      </c>
      <c r="R43">
        <f>IF(Q43&lt;=0,-1,INT((Q43-1)/($Q$10+$Q$11)))</f>
        <v>1</v>
      </c>
      <c r="S43">
        <f>IF(Q43&lt;=0,-1,MOD(Q43-1,($Q$10+$Q$11)))</f>
        <v>3</v>
      </c>
      <c r="T43">
        <f>IF(OR(S43&lt;0,S43&gt;=$Q$10),-1,INT(S43/$Q$9))</f>
        <v>3</v>
      </c>
      <c r="U43">
        <f>IF(OR(S43&lt;0,S43&gt;=$Q$10),-1,MOD(S43,$Q$9))</f>
        <v>0</v>
      </c>
      <c r="V43">
        <f>IF(OR(Q43&lt;=0,S43&lt;0,S43&gt;=$Q$10,R43&gt;=$Q$7),1,0)</f>
        <v>0</v>
      </c>
      <c r="W43">
        <f>IF(V43=1,-1,T43)</f>
        <v>3</v>
      </c>
      <c r="X43">
        <f>IF(V43=1,-1,R43)</f>
        <v>1</v>
      </c>
      <c r="Y43" t="str">
        <f>IF(V43=1,"",IF(AND(MOD(W43,3)=0,U43=INT(($Q$9-1)/2)),INDEX($B$5:$M$5,W43+1),""))</f>
        <v>Apr</v>
      </c>
      <c r="Z43">
        <f>IF(V43=1,NA(),IF(INDEX($B$6:$M$17,($Q$3-1-0)*$Q$4+X43+1,0*$Q$5+W43+1)="",NA(),IF(INDEX($B$6:$M$17,($Q$3-1-0)*$Q$4+X43+1,0*$Q$5+W43+1)&gt;=0,0+(INDEX($B$6:$M$17,($Q$3-1-0)*$Q$4+X43+1,0*$Q$5+W43+1)-$Q$17)/$Q$19*$Q$13,NA())))</f>
        <v>0.58766666666666667</v>
      </c>
      <c r="AA43" t="e">
        <f>IF(V43=1,NA(),IF(INDEX($B$6:$M$17,($Q$3-1-0)*$Q$4+X43+1,0*$Q$5+W43+1)="",NA(),IF(INDEX($B$6:$M$17,($Q$3-1-0)*$Q$4+X43+1,0*$Q$5+W43+1)&lt;0,0+(INDEX($B$6:$M$17,($Q$3-1-0)*$Q$4+X43+1,0*$Q$5+W43+1)-$Q$17)/$Q$19*$Q$13,NA())))</f>
        <v>#N/A</v>
      </c>
      <c r="AB43" t="e">
        <f>IF(V43=1,NA(),IF(INDEX($B$6:$M$17,($Q$3-1-1)*$Q$4+X43+1,0*$Q$5+W43+1)="",NA(),IF(INDEX($B$6:$M$17,($Q$3-1-1)*$Q$4+X43+1,0*$Q$5+W43+1)&gt;=0,1+(INDEX($B$6:$M$17,($Q$3-1-1)*$Q$4+X43+1,0*$Q$5+W43+1)-$Q$17)/$Q$19*$Q$13,NA())))</f>
        <v>#N/A</v>
      </c>
      <c r="AC43">
        <f>IF(V43=1,NA(),IF(INDEX($B$6:$M$17,($Q$3-1-1)*$Q$4+X43+1,0*$Q$5+W43+1)="",NA(),IF(INDEX($B$6:$M$17,($Q$3-1-1)*$Q$4+X43+1,0*$Q$5+W43+1)&lt;0,1+(INDEX($B$6:$M$17,($Q$3-1-1)*$Q$4+X43+1,0*$Q$5+W43+1)-$Q$17)/$Q$19*$Q$13,NA())))</f>
        <v>1.3963333333333332</v>
      </c>
      <c r="AD43">
        <f>IF(V43=1,NA(),IF(INDEX($B$6:$M$17,($Q$3-1-2)*$Q$4+X43+1,0*$Q$5+W43+1)="",NA(),IF(INDEX($B$6:$M$17,($Q$3-1-2)*$Q$4+X43+1,0*$Q$5+W43+1)&gt;=0,2+(INDEX($B$6:$M$17,($Q$3-1-2)*$Q$4+X43+1,0*$Q$5+W43+1)-$Q$17)/$Q$19*$Q$13,NA())))</f>
        <v>2.6491666666666664</v>
      </c>
      <c r="AE43" t="e">
        <f>IF(V43=1,NA(),IF(INDEX($B$6:$M$17,($Q$3-1-2)*$Q$4+X43+1,0*$Q$5+W43+1)="",NA(),IF(INDEX($B$6:$M$17,($Q$3-1-2)*$Q$4+X43+1,0*$Q$5+W43+1)&lt;0,2+(INDEX($B$6:$M$17,($Q$3-1-2)*$Q$4+X43+1,0*$Q$5+W43+1)-$Q$17)/$Q$19*$Q$13,NA())))</f>
        <v>#N/A</v>
      </c>
      <c r="AF43">
        <f>IF(V43=1,NA(),IF(INDEX($B$6:$M$17,($Q$3-1-3)*$Q$4+X43+1,0*$Q$5+W43+1)="",NA(),IF(INDEX($B$6:$M$17,($Q$3-1-3)*$Q$4+X43+1,0*$Q$5+W43+1)&gt;=0,3+(INDEX($B$6:$M$17,($Q$3-1-3)*$Q$4+X43+1,0*$Q$5+W43+1)-$Q$17)/$Q$19*$Q$13,NA())))</f>
        <v>3.4510000000000001</v>
      </c>
      <c r="AG43" t="e">
        <f>IF(V43=1,NA(),IF(INDEX($B$6:$M$17,($Q$3-1-3)*$Q$4+X43+1,0*$Q$5+W43+1)="",NA(),IF(INDEX($B$6:$M$17,($Q$3-1-3)*$Q$4+X43+1,0*$Q$5+W43+1)&lt;0,3+(INDEX($B$6:$M$17,($Q$3-1-3)*$Q$4+X43+1,0*$Q$5+W43+1)-$Q$17)/$Q$19*$Q$13,NA())))</f>
        <v>#N/A</v>
      </c>
      <c r="AI43">
        <f>IF(V43=1,0,IF(INDEX($B$6:$M$17,($Q$3-1-0)*$Q$4+X43+1,0*$Q$5+W43+1)="",0,IF(INDEX($B$6:$M$17,($Q$3-1-0)*$Q$4+X43+1,0*$Q$5+W43+1)&gt;=0,ABS(INDEX($B$6:$M$17,($Q$3-1-0)*$Q$4+X43+1,0*$Q$5+W43+1))/$Q$19*$Q$13,0)))</f>
        <v>0.17766666666666667</v>
      </c>
      <c r="AJ43">
        <f>IF(V43=1,0,IF(INDEX($B$6:$M$17,($Q$3-1-0)*$Q$4+X43+1,0*$Q$5+W43+1)="",0,IF(INDEX($B$6:$M$17,($Q$3-1-0)*$Q$4+X43+1,0*$Q$5+W43+1)&lt;0,ABS(INDEX($B$6:$M$17,($Q$3-1-0)*$Q$4+X43+1,0*$Q$5+W43+1))/$Q$19*$Q$13,0)))</f>
        <v>0</v>
      </c>
      <c r="AK43">
        <f>IF(V43=1,0,IF(INDEX($B$6:$M$17,($Q$3-1-1)*$Q$4+X43+1,0*$Q$5+W43+1)="",0,IF(INDEX($B$6:$M$17,($Q$3-1-1)*$Q$4+X43+1,0*$Q$5+W43+1)&gt;=0,ABS(INDEX($B$6:$M$17,($Q$3-1-1)*$Q$4+X43+1,0*$Q$5+W43+1))/$Q$19*$Q$13,0)))</f>
        <v>0</v>
      </c>
      <c r="AL43">
        <f>IF(V43=1,0,IF(INDEX($B$6:$M$17,($Q$3-1-1)*$Q$4+X43+1,0*$Q$5+W43+1)="",0,IF(INDEX($B$6:$M$17,($Q$3-1-1)*$Q$4+X43+1,0*$Q$5+W43+1)&lt;0,ABS(INDEX($B$6:$M$17,($Q$3-1-1)*$Q$4+X43+1,0*$Q$5+W43+1))/$Q$19*$Q$13,0)))</f>
        <v>1.3666666666666666E-2</v>
      </c>
      <c r="AM43">
        <f>IF(V43=1,0,IF(INDEX($B$6:$M$17,($Q$3-1-2)*$Q$4+X43+1,0*$Q$5+W43+1)="",0,IF(INDEX($B$6:$M$17,($Q$3-1-2)*$Q$4+X43+1,0*$Q$5+W43+1)&gt;=0,ABS(INDEX($B$6:$M$17,($Q$3-1-2)*$Q$4+X43+1,0*$Q$5+W43+1))/$Q$19*$Q$13,0)))</f>
        <v>0.23916666666666667</v>
      </c>
      <c r="AN43">
        <f>IF(V43=1,0,IF(INDEX($B$6:$M$17,($Q$3-1-2)*$Q$4+X43+1,0*$Q$5+W43+1)="",0,IF(INDEX($B$6:$M$17,($Q$3-1-2)*$Q$4+X43+1,0*$Q$5+W43+1)&lt;0,ABS(INDEX($B$6:$M$17,($Q$3-1-2)*$Q$4+X43+1,0*$Q$5+W43+1))/$Q$19*$Q$13,0)))</f>
        <v>0</v>
      </c>
      <c r="AO43">
        <f>IF(V43=1,0,IF(INDEX($B$6:$M$17,($Q$3-1-3)*$Q$4+X43+1,0*$Q$5+W43+1)="",0,IF(INDEX($B$6:$M$17,($Q$3-1-3)*$Q$4+X43+1,0*$Q$5+W43+1)&gt;=0,ABS(INDEX($B$6:$M$17,($Q$3-1-3)*$Q$4+X43+1,0*$Q$5+W43+1))/$Q$19*$Q$13,0)))</f>
        <v>4.1000000000000002E-2</v>
      </c>
      <c r="AP43">
        <f>IF(V43=1,0,IF(INDEX($B$6:$M$17,($Q$3-1-3)*$Q$4+X43+1,0*$Q$5+W43+1)="",0,IF(INDEX($B$6:$M$17,($Q$3-1-3)*$Q$4+X43+1,0*$Q$5+W43+1)&lt;0,ABS(INDEX($B$6:$M$17,($Q$3-1-3)*$Q$4+X43+1,0*$Q$5+W43+1))/$Q$19*$Q$13,0)))</f>
        <v>0</v>
      </c>
      <c r="AR43" t="str">
        <f>IF(V43=1,"",IF(INDEX($B$6:$M$17,($Q$3-1-0)*$Q$4+X43+1,0*$Q$5+W43+1)="","",IF(INDEX($B$6:$M$17,($Q$3-1-0)*$Q$4+X43+1,0*$Q$5+W43+1)&gt;=0,TEXT(INDEX($B$6:$M$17,($Q$3-1-0)*$Q$4+X43+1,0*$Q$5+W43+1),"+0;-0;0"),"")))</f>
        <v>+13</v>
      </c>
      <c r="AS43" t="str">
        <f>IF(V43=1,"",IF(INDEX($B$6:$M$17,($Q$3-1-0)*$Q$4+X43+1,0*$Q$5+W43+1)="","",IF(INDEX($B$6:$M$17,($Q$3-1-0)*$Q$4+X43+1,0*$Q$5+W43+1)&lt;0,TEXT(INDEX($B$6:$M$17,($Q$3-1-0)*$Q$4+X43+1,0*$Q$5+W43+1),"+0;-0;0"),"")))</f>
        <v/>
      </c>
      <c r="AT43" t="str">
        <f>IF(V43=1,"",IF(INDEX($B$6:$M$17,($Q$3-1-1)*$Q$4+X43+1,0*$Q$5+W43+1)="","",IF(INDEX($B$6:$M$17,($Q$3-1-1)*$Q$4+X43+1,0*$Q$5+W43+1)&gt;=0,TEXT(INDEX($B$6:$M$17,($Q$3-1-1)*$Q$4+X43+1,0*$Q$5+W43+1),"+0;-0;0"),"")))</f>
        <v/>
      </c>
      <c r="AU43" t="str">
        <f>IF(V43=1,"",IF(INDEX($B$6:$M$17,($Q$3-1-1)*$Q$4+X43+1,0*$Q$5+W43+1)="","",IF(INDEX($B$6:$M$17,($Q$3-1-1)*$Q$4+X43+1,0*$Q$5+W43+1)&lt;0,TEXT(INDEX($B$6:$M$17,($Q$3-1-1)*$Q$4+X43+1,0*$Q$5+W43+1),"+0;-0;0"),"")))</f>
        <v>-1</v>
      </c>
      <c r="AV43" t="str">
        <f>IF(V43=1,"",IF(INDEX($B$6:$M$17,($Q$3-1-2)*$Q$4+X43+1,0*$Q$5+W43+1)="","",IF(INDEX($B$6:$M$17,($Q$3-1-2)*$Q$4+X43+1,0*$Q$5+W43+1)&gt;=0,TEXT(INDEX($B$6:$M$17,($Q$3-1-2)*$Q$4+X43+1,0*$Q$5+W43+1),"+0;-0;0"),"")))</f>
        <v>+18</v>
      </c>
      <c r="AW43" t="str">
        <f>IF(V43=1,"",IF(INDEX($B$6:$M$17,($Q$3-1-2)*$Q$4+X43+1,0*$Q$5+W43+1)="","",IF(INDEX($B$6:$M$17,($Q$3-1-2)*$Q$4+X43+1,0*$Q$5+W43+1)&lt;0,TEXT(INDEX($B$6:$M$17,($Q$3-1-2)*$Q$4+X43+1,0*$Q$5+W43+1),"+0;-0;0"),"")))</f>
        <v/>
      </c>
      <c r="AX43" t="str">
        <f>IF(V43=1,"",IF(INDEX($B$6:$M$17,($Q$3-1-3)*$Q$4+X43+1,0*$Q$5+W43+1)="","",IF(INDEX($B$6:$M$17,($Q$3-1-3)*$Q$4+X43+1,0*$Q$5+W43+1)&gt;=0,TEXT(INDEX($B$6:$M$17,($Q$3-1-3)*$Q$4+X43+1,0*$Q$5+W43+1),"+0;-0;0"),"")))</f>
        <v>+3</v>
      </c>
      <c r="AY43" t="str">
        <f>IF(V43=1,"",IF(INDEX($B$6:$M$17,($Q$3-1-3)*$Q$4+X43+1,0*$Q$5+W43+1)="","",IF(INDEX($B$6:$M$17,($Q$3-1-3)*$Q$4+X43+1,0*$Q$5+W43+1)&lt;0,TEXT(INDEX($B$6:$M$17,($Q$3-1-3)*$Q$4+X43+1,0*$Q$5+W43+1),"+0;-0;0"),"")))</f>
        <v/>
      </c>
      <c r="BG43">
        <v>15.5</v>
      </c>
      <c r="BH43">
        <f>IF(OR($Q$17&gt;0,$Q$18&lt;0),NA(),2+$Q$20)</f>
        <v>2.41</v>
      </c>
    </row>
    <row r="44" spans="16:68" x14ac:dyDescent="0.35">
      <c r="P44">
        <v>21</v>
      </c>
      <c r="Q44">
        <f>P44-$Q$12</f>
        <v>18</v>
      </c>
      <c r="R44">
        <f>IF(Q44&lt;=0,-1,INT((Q44-1)/($Q$10+$Q$11)))</f>
        <v>1</v>
      </c>
      <c r="S44">
        <f>IF(Q44&lt;=0,-1,MOD(Q44-1,($Q$10+$Q$11)))</f>
        <v>4</v>
      </c>
      <c r="T44">
        <f>IF(OR(S44&lt;0,S44&gt;=$Q$10),-1,INT(S44/$Q$9))</f>
        <v>4</v>
      </c>
      <c r="U44">
        <f>IF(OR(S44&lt;0,S44&gt;=$Q$10),-1,MOD(S44,$Q$9))</f>
        <v>0</v>
      </c>
      <c r="V44">
        <f>IF(OR(Q44&lt;=0,S44&lt;0,S44&gt;=$Q$10,R44&gt;=$Q$7),1,0)</f>
        <v>0</v>
      </c>
      <c r="W44">
        <f>IF(V44=1,-1,T44)</f>
        <v>4</v>
      </c>
      <c r="X44">
        <f>IF(V44=1,-1,R44)</f>
        <v>1</v>
      </c>
      <c r="Y44" t="str">
        <f>IF(V44=1,"",IF(AND(MOD(W44,3)=0,U44=INT(($Q$9-1)/2)),INDEX($B$5:$M$5,W44+1),""))</f>
        <v/>
      </c>
      <c r="Z44" t="e">
        <f>IF(V44=1,NA(),IF(INDEX($B$6:$M$17,($Q$3-1-0)*$Q$4+X44+1,0*$Q$5+W44+1)="",NA(),IF(INDEX($B$6:$M$17,($Q$3-1-0)*$Q$4+X44+1,0*$Q$5+W44+1)&gt;=0,0+(INDEX($B$6:$M$17,($Q$3-1-0)*$Q$4+X44+1,0*$Q$5+W44+1)-$Q$17)/$Q$19*$Q$13,NA())))</f>
        <v>#N/A</v>
      </c>
      <c r="AA44">
        <f>IF(V44=1,NA(),IF(INDEX($B$6:$M$17,($Q$3-1-0)*$Q$4+X44+1,0*$Q$5+W44+1)="",NA(),IF(INDEX($B$6:$M$17,($Q$3-1-0)*$Q$4+X44+1,0*$Q$5+W44+1)&lt;0,0+(INDEX($B$6:$M$17,($Q$3-1-0)*$Q$4+X44+1,0*$Q$5+W44+1)-$Q$17)/$Q$19*$Q$13,NA())))</f>
        <v>0.34166666666666667</v>
      </c>
      <c r="AB44" t="e">
        <f>IF(V44=1,NA(),IF(INDEX($B$6:$M$17,($Q$3-1-1)*$Q$4+X44+1,0*$Q$5+W44+1)="",NA(),IF(INDEX($B$6:$M$17,($Q$3-1-1)*$Q$4+X44+1,0*$Q$5+W44+1)&gt;=0,1+(INDEX($B$6:$M$17,($Q$3-1-1)*$Q$4+X44+1,0*$Q$5+W44+1)-$Q$17)/$Q$19*$Q$13,NA())))</f>
        <v>#N/A</v>
      </c>
      <c r="AC44">
        <f>IF(V44=1,NA(),IF(INDEX($B$6:$M$17,($Q$3-1-1)*$Q$4+X44+1,0*$Q$5+W44+1)="",NA(),IF(INDEX($B$6:$M$17,($Q$3-1-1)*$Q$4+X44+1,0*$Q$5+W44+1)&lt;0,1+(INDEX($B$6:$M$17,($Q$3-1-1)*$Q$4+X44+1,0*$Q$5+W44+1)-$Q$17)/$Q$19*$Q$13,NA())))</f>
        <v>1.1503333333333332</v>
      </c>
      <c r="AD44" t="e">
        <f>IF(V44=1,NA(),IF(INDEX($B$6:$M$17,($Q$3-1-2)*$Q$4+X44+1,0*$Q$5+W44+1)="",NA(),IF(INDEX($B$6:$M$17,($Q$3-1-2)*$Q$4+X44+1,0*$Q$5+W44+1)&gt;=0,2+(INDEX($B$6:$M$17,($Q$3-1-2)*$Q$4+X44+1,0*$Q$5+W44+1)-$Q$17)/$Q$19*$Q$13,NA())))</f>
        <v>#N/A</v>
      </c>
      <c r="AE44">
        <f>IF(V44=1,NA(),IF(INDEX($B$6:$M$17,($Q$3-1-2)*$Q$4+X44+1,0*$Q$5+W44+1)="",NA(),IF(INDEX($B$6:$M$17,($Q$3-1-2)*$Q$4+X44+1,0*$Q$5+W44+1)&lt;0,2+(INDEX($B$6:$M$17,($Q$3-1-2)*$Q$4+X44+1,0*$Q$5+W44+1)-$Q$17)/$Q$19*$Q$13,NA())))</f>
        <v>2.4031666666666665</v>
      </c>
      <c r="AF44">
        <f>IF(V44=1,NA(),IF(INDEX($B$6:$M$17,($Q$3-1-3)*$Q$4+X44+1,0*$Q$5+W44+1)="",NA(),IF(INDEX($B$6:$M$17,($Q$3-1-3)*$Q$4+X44+1,0*$Q$5+W44+1)&gt;=0,3+(INDEX($B$6:$M$17,($Q$3-1-3)*$Q$4+X44+1,0*$Q$5+W44+1)-$Q$17)/$Q$19*$Q$13,NA())))</f>
        <v>3.6560000000000001</v>
      </c>
      <c r="AG44" t="e">
        <f>IF(V44=1,NA(),IF(INDEX($B$6:$M$17,($Q$3-1-3)*$Q$4+X44+1,0*$Q$5+W44+1)="",NA(),IF(INDEX($B$6:$M$17,($Q$3-1-3)*$Q$4+X44+1,0*$Q$5+W44+1)&lt;0,3+(INDEX($B$6:$M$17,($Q$3-1-3)*$Q$4+X44+1,0*$Q$5+W44+1)-$Q$17)/$Q$19*$Q$13,NA())))</f>
        <v>#N/A</v>
      </c>
      <c r="AI44">
        <f>IF(V44=1,0,IF(INDEX($B$6:$M$17,($Q$3-1-0)*$Q$4+X44+1,0*$Q$5+W44+1)="",0,IF(INDEX($B$6:$M$17,($Q$3-1-0)*$Q$4+X44+1,0*$Q$5+W44+1)&gt;=0,ABS(INDEX($B$6:$M$17,($Q$3-1-0)*$Q$4+X44+1,0*$Q$5+W44+1))/$Q$19*$Q$13,0)))</f>
        <v>0</v>
      </c>
      <c r="AJ44">
        <f>IF(V44=1,0,IF(INDEX($B$6:$M$17,($Q$3-1-0)*$Q$4+X44+1,0*$Q$5+W44+1)="",0,IF(INDEX($B$6:$M$17,($Q$3-1-0)*$Q$4+X44+1,0*$Q$5+W44+1)&lt;0,ABS(INDEX($B$6:$M$17,($Q$3-1-0)*$Q$4+X44+1,0*$Q$5+W44+1))/$Q$19*$Q$13,0)))</f>
        <v>6.8333333333333329E-2</v>
      </c>
      <c r="AK44">
        <f>IF(V44=1,0,IF(INDEX($B$6:$M$17,($Q$3-1-1)*$Q$4+X44+1,0*$Q$5+W44+1)="",0,IF(INDEX($B$6:$M$17,($Q$3-1-1)*$Q$4+X44+1,0*$Q$5+W44+1)&gt;=0,ABS(INDEX($B$6:$M$17,($Q$3-1-1)*$Q$4+X44+1,0*$Q$5+W44+1))/$Q$19*$Q$13,0)))</f>
        <v>0</v>
      </c>
      <c r="AL44">
        <f>IF(V44=1,0,IF(INDEX($B$6:$M$17,($Q$3-1-1)*$Q$4+X44+1,0*$Q$5+W44+1)="",0,IF(INDEX($B$6:$M$17,($Q$3-1-1)*$Q$4+X44+1,0*$Q$5+W44+1)&lt;0,ABS(INDEX($B$6:$M$17,($Q$3-1-1)*$Q$4+X44+1,0*$Q$5+W44+1))/$Q$19*$Q$13,0)))</f>
        <v>0.25966666666666666</v>
      </c>
      <c r="AM44">
        <f>IF(V44=1,0,IF(INDEX($B$6:$M$17,($Q$3-1-2)*$Q$4+X44+1,0*$Q$5+W44+1)="",0,IF(INDEX($B$6:$M$17,($Q$3-1-2)*$Q$4+X44+1,0*$Q$5+W44+1)&gt;=0,ABS(INDEX($B$6:$M$17,($Q$3-1-2)*$Q$4+X44+1,0*$Q$5+W44+1))/$Q$19*$Q$13,0)))</f>
        <v>0</v>
      </c>
      <c r="AN44">
        <f>IF(V44=1,0,IF(INDEX($B$6:$M$17,($Q$3-1-2)*$Q$4+X44+1,0*$Q$5+W44+1)="",0,IF(INDEX($B$6:$M$17,($Q$3-1-2)*$Q$4+X44+1,0*$Q$5+W44+1)&lt;0,ABS(INDEX($B$6:$M$17,($Q$3-1-2)*$Q$4+X44+1,0*$Q$5+W44+1))/$Q$19*$Q$13,0)))</f>
        <v>6.8333333333333328E-3</v>
      </c>
      <c r="AO44">
        <f>IF(V44=1,0,IF(INDEX($B$6:$M$17,($Q$3-1-3)*$Q$4+X44+1,0*$Q$5+W44+1)="",0,IF(INDEX($B$6:$M$17,($Q$3-1-3)*$Q$4+X44+1,0*$Q$5+W44+1)&gt;=0,ABS(INDEX($B$6:$M$17,($Q$3-1-3)*$Q$4+X44+1,0*$Q$5+W44+1))/$Q$19*$Q$13,0)))</f>
        <v>0.24599999999999997</v>
      </c>
      <c r="AP44">
        <f>IF(V44=1,0,IF(INDEX($B$6:$M$17,($Q$3-1-3)*$Q$4+X44+1,0*$Q$5+W44+1)="",0,IF(INDEX($B$6:$M$17,($Q$3-1-3)*$Q$4+X44+1,0*$Q$5+W44+1)&lt;0,ABS(INDEX($B$6:$M$17,($Q$3-1-3)*$Q$4+X44+1,0*$Q$5+W44+1))/$Q$19*$Q$13,0)))</f>
        <v>0</v>
      </c>
      <c r="AR44" t="str">
        <f>IF(V44=1,"",IF(INDEX($B$6:$M$17,($Q$3-1-0)*$Q$4+X44+1,0*$Q$5+W44+1)="","",IF(INDEX($B$6:$M$17,($Q$3-1-0)*$Q$4+X44+1,0*$Q$5+W44+1)&gt;=0,TEXT(INDEX($B$6:$M$17,($Q$3-1-0)*$Q$4+X44+1,0*$Q$5+W44+1),"+0;-0;0"),"")))</f>
        <v/>
      </c>
      <c r="AS44" t="str">
        <f>IF(V44=1,"",IF(INDEX($B$6:$M$17,($Q$3-1-0)*$Q$4+X44+1,0*$Q$5+W44+1)="","",IF(INDEX($B$6:$M$17,($Q$3-1-0)*$Q$4+X44+1,0*$Q$5+W44+1)&lt;0,TEXT(INDEX($B$6:$M$17,($Q$3-1-0)*$Q$4+X44+1,0*$Q$5+W44+1),"+0;-0;0"),"")))</f>
        <v>-5</v>
      </c>
      <c r="AT44" t="str">
        <f>IF(V44=1,"",IF(INDEX($B$6:$M$17,($Q$3-1-1)*$Q$4+X44+1,0*$Q$5+W44+1)="","",IF(INDEX($B$6:$M$17,($Q$3-1-1)*$Q$4+X44+1,0*$Q$5+W44+1)&gt;=0,TEXT(INDEX($B$6:$M$17,($Q$3-1-1)*$Q$4+X44+1,0*$Q$5+W44+1),"+0;-0;0"),"")))</f>
        <v/>
      </c>
      <c r="AU44" t="str">
        <f>IF(V44=1,"",IF(INDEX($B$6:$M$17,($Q$3-1-1)*$Q$4+X44+1,0*$Q$5+W44+1)="","",IF(INDEX($B$6:$M$17,($Q$3-1-1)*$Q$4+X44+1,0*$Q$5+W44+1)&lt;0,TEXT(INDEX($B$6:$M$17,($Q$3-1-1)*$Q$4+X44+1,0*$Q$5+W44+1),"+0;-0;0"),"")))</f>
        <v>-19</v>
      </c>
      <c r="AV44" t="str">
        <f>IF(V44=1,"",IF(INDEX($B$6:$M$17,($Q$3-1-2)*$Q$4+X44+1,0*$Q$5+W44+1)="","",IF(INDEX($B$6:$M$17,($Q$3-1-2)*$Q$4+X44+1,0*$Q$5+W44+1)&gt;=0,TEXT(INDEX($B$6:$M$17,($Q$3-1-2)*$Q$4+X44+1,0*$Q$5+W44+1),"+0;-0;0"),"")))</f>
        <v/>
      </c>
      <c r="AW44" t="str">
        <f>IF(V44=1,"",IF(INDEX($B$6:$M$17,($Q$3-1-2)*$Q$4+X44+1,0*$Q$5+W44+1)="","",IF(INDEX($B$6:$M$17,($Q$3-1-2)*$Q$4+X44+1,0*$Q$5+W44+1)&lt;0,TEXT(INDEX($B$6:$M$17,($Q$3-1-2)*$Q$4+X44+1,0*$Q$5+W44+1),"+0;-0;0"),"")))</f>
        <v>-1</v>
      </c>
      <c r="AX44" t="str">
        <f>IF(V44=1,"",IF(INDEX($B$6:$M$17,($Q$3-1-3)*$Q$4+X44+1,0*$Q$5+W44+1)="","",IF(INDEX($B$6:$M$17,($Q$3-1-3)*$Q$4+X44+1,0*$Q$5+W44+1)&gt;=0,TEXT(INDEX($B$6:$M$17,($Q$3-1-3)*$Q$4+X44+1,0*$Q$5+W44+1),"+0;-0;0"),"")))</f>
        <v>+18</v>
      </c>
      <c r="AY44" t="str">
        <f>IF(V44=1,"",IF(INDEX($B$6:$M$17,($Q$3-1-3)*$Q$4+X44+1,0*$Q$5+W44+1)="","",IF(INDEX($B$6:$M$17,($Q$3-1-3)*$Q$4+X44+1,0*$Q$5+W44+1)&lt;0,TEXT(INDEX($B$6:$M$17,($Q$3-1-3)*$Q$4+X44+1,0*$Q$5+W44+1),"+0;-0;0"),"")))</f>
        <v/>
      </c>
      <c r="BG44">
        <v>15.5</v>
      </c>
      <c r="BH44" t="e">
        <f>NA()</f>
        <v>#N/A</v>
      </c>
    </row>
    <row r="45" spans="16:68" x14ac:dyDescent="0.35">
      <c r="P45">
        <v>22</v>
      </c>
      <c r="Q45">
        <f>P45-$Q$12</f>
        <v>19</v>
      </c>
      <c r="R45">
        <f>IF(Q45&lt;=0,-1,INT((Q45-1)/($Q$10+$Q$11)))</f>
        <v>1</v>
      </c>
      <c r="S45">
        <f>IF(Q45&lt;=0,-1,MOD(Q45-1,($Q$10+$Q$11)))</f>
        <v>5</v>
      </c>
      <c r="T45">
        <f>IF(OR(S45&lt;0,S45&gt;=$Q$10),-1,INT(S45/$Q$9))</f>
        <v>5</v>
      </c>
      <c r="U45">
        <f>IF(OR(S45&lt;0,S45&gt;=$Q$10),-1,MOD(S45,$Q$9))</f>
        <v>0</v>
      </c>
      <c r="V45">
        <f>IF(OR(Q45&lt;=0,S45&lt;0,S45&gt;=$Q$10,R45&gt;=$Q$7),1,0)</f>
        <v>0</v>
      </c>
      <c r="W45">
        <f>IF(V45=1,-1,T45)</f>
        <v>5</v>
      </c>
      <c r="X45">
        <f>IF(V45=1,-1,R45)</f>
        <v>1</v>
      </c>
      <c r="Y45" t="str">
        <f>IF(V45=1,"",IF(AND(MOD(W45,3)=0,U45=INT(($Q$9-1)/2)),INDEX($B$5:$M$5,W45+1),""))</f>
        <v/>
      </c>
      <c r="Z45">
        <f>IF(V45=1,NA(),IF(INDEX($B$6:$M$17,($Q$3-1-0)*$Q$4+X45+1,0*$Q$5+W45+1)="",NA(),IF(INDEX($B$6:$M$17,($Q$3-1-0)*$Q$4+X45+1,0*$Q$5+W45+1)&gt;=0,0+(INDEX($B$6:$M$17,($Q$3-1-0)*$Q$4+X45+1,0*$Q$5+W45+1)-$Q$17)/$Q$19*$Q$13,NA())))</f>
        <v>0.54666666666666663</v>
      </c>
      <c r="AA45" t="e">
        <f>IF(V45=1,NA(),IF(INDEX($B$6:$M$17,($Q$3-1-0)*$Q$4+X45+1,0*$Q$5+W45+1)="",NA(),IF(INDEX($B$6:$M$17,($Q$3-1-0)*$Q$4+X45+1,0*$Q$5+W45+1)&lt;0,0+(INDEX($B$6:$M$17,($Q$3-1-0)*$Q$4+X45+1,0*$Q$5+W45+1)-$Q$17)/$Q$19*$Q$13,NA())))</f>
        <v>#N/A</v>
      </c>
      <c r="AB45" t="e">
        <f>IF(V45=1,NA(),IF(INDEX($B$6:$M$17,($Q$3-1-1)*$Q$4+X45+1,0*$Q$5+W45+1)="",NA(),IF(INDEX($B$6:$M$17,($Q$3-1-1)*$Q$4+X45+1,0*$Q$5+W45+1)&gt;=0,1+(INDEX($B$6:$M$17,($Q$3-1-1)*$Q$4+X45+1,0*$Q$5+W45+1)-$Q$17)/$Q$19*$Q$13,NA())))</f>
        <v>#N/A</v>
      </c>
      <c r="AC45">
        <f>IF(V45=1,NA(),IF(INDEX($B$6:$M$17,($Q$3-1-1)*$Q$4+X45+1,0*$Q$5+W45+1)="",NA(),IF(INDEX($B$6:$M$17,($Q$3-1-1)*$Q$4+X45+1,0*$Q$5+W45+1)&lt;0,1+(INDEX($B$6:$M$17,($Q$3-1-1)*$Q$4+X45+1,0*$Q$5+W45+1)-$Q$17)/$Q$19*$Q$13,NA())))</f>
        <v>1.3553333333333333</v>
      </c>
      <c r="AD45">
        <f>IF(V45=1,NA(),IF(INDEX($B$6:$M$17,($Q$3-1-2)*$Q$4+X45+1,0*$Q$5+W45+1)="",NA(),IF(INDEX($B$6:$M$17,($Q$3-1-2)*$Q$4+X45+1,0*$Q$5+W45+1)&gt;=0,2+(INDEX($B$6:$M$17,($Q$3-1-2)*$Q$4+X45+1,0*$Q$5+W45+1)-$Q$17)/$Q$19*$Q$13,NA())))</f>
        <v>2.6081666666666665</v>
      </c>
      <c r="AE45" t="e">
        <f>IF(V45=1,NA(),IF(INDEX($B$6:$M$17,($Q$3-1-2)*$Q$4+X45+1,0*$Q$5+W45+1)="",NA(),IF(INDEX($B$6:$M$17,($Q$3-1-2)*$Q$4+X45+1,0*$Q$5+W45+1)&lt;0,2+(INDEX($B$6:$M$17,($Q$3-1-2)*$Q$4+X45+1,0*$Q$5+W45+1)-$Q$17)/$Q$19*$Q$13,NA())))</f>
        <v>#N/A</v>
      </c>
      <c r="AF45">
        <f>IF(V45=1,NA(),IF(INDEX($B$6:$M$17,($Q$3-1-3)*$Q$4+X45+1,0*$Q$5+W45+1)="",NA(),IF(INDEX($B$6:$M$17,($Q$3-1-3)*$Q$4+X45+1,0*$Q$5+W45+1)&gt;=0,3+(INDEX($B$6:$M$17,($Q$3-1-3)*$Q$4+X45+1,0*$Q$5+W45+1)-$Q$17)/$Q$19*$Q$13,NA())))</f>
        <v>3.41</v>
      </c>
      <c r="AG45" t="e">
        <f>IF(V45=1,NA(),IF(INDEX($B$6:$M$17,($Q$3-1-3)*$Q$4+X45+1,0*$Q$5+W45+1)="",NA(),IF(INDEX($B$6:$M$17,($Q$3-1-3)*$Q$4+X45+1,0*$Q$5+W45+1)&lt;0,3+(INDEX($B$6:$M$17,($Q$3-1-3)*$Q$4+X45+1,0*$Q$5+W45+1)-$Q$17)/$Q$19*$Q$13,NA())))</f>
        <v>#N/A</v>
      </c>
      <c r="AI45">
        <f>IF(V45=1,0,IF(INDEX($B$6:$M$17,($Q$3-1-0)*$Q$4+X45+1,0*$Q$5+W45+1)="",0,IF(INDEX($B$6:$M$17,($Q$3-1-0)*$Q$4+X45+1,0*$Q$5+W45+1)&gt;=0,ABS(INDEX($B$6:$M$17,($Q$3-1-0)*$Q$4+X45+1,0*$Q$5+W45+1))/$Q$19*$Q$13,0)))</f>
        <v>0.13666666666666666</v>
      </c>
      <c r="AJ45">
        <f>IF(V45=1,0,IF(INDEX($B$6:$M$17,($Q$3-1-0)*$Q$4+X45+1,0*$Q$5+W45+1)="",0,IF(INDEX($B$6:$M$17,($Q$3-1-0)*$Q$4+X45+1,0*$Q$5+W45+1)&lt;0,ABS(INDEX($B$6:$M$17,($Q$3-1-0)*$Q$4+X45+1,0*$Q$5+W45+1))/$Q$19*$Q$13,0)))</f>
        <v>0</v>
      </c>
      <c r="AK45">
        <f>IF(V45=1,0,IF(INDEX($B$6:$M$17,($Q$3-1-1)*$Q$4+X45+1,0*$Q$5+W45+1)="",0,IF(INDEX($B$6:$M$17,($Q$3-1-1)*$Q$4+X45+1,0*$Q$5+W45+1)&gt;=0,ABS(INDEX($B$6:$M$17,($Q$3-1-1)*$Q$4+X45+1,0*$Q$5+W45+1))/$Q$19*$Q$13,0)))</f>
        <v>0</v>
      </c>
      <c r="AL45">
        <f>IF(V45=1,0,IF(INDEX($B$6:$M$17,($Q$3-1-1)*$Q$4+X45+1,0*$Q$5+W45+1)="",0,IF(INDEX($B$6:$M$17,($Q$3-1-1)*$Q$4+X45+1,0*$Q$5+W45+1)&lt;0,ABS(INDEX($B$6:$M$17,($Q$3-1-1)*$Q$4+X45+1,0*$Q$5+W45+1))/$Q$19*$Q$13,0)))</f>
        <v>5.4666666666666662E-2</v>
      </c>
      <c r="AM45">
        <f>IF(V45=1,0,IF(INDEX($B$6:$M$17,($Q$3-1-2)*$Q$4+X45+1,0*$Q$5+W45+1)="",0,IF(INDEX($B$6:$M$17,($Q$3-1-2)*$Q$4+X45+1,0*$Q$5+W45+1)&gt;=0,ABS(INDEX($B$6:$M$17,($Q$3-1-2)*$Q$4+X45+1,0*$Q$5+W45+1))/$Q$19*$Q$13,0)))</f>
        <v>0.19816666666666666</v>
      </c>
      <c r="AN45">
        <f>IF(V45=1,0,IF(INDEX($B$6:$M$17,($Q$3-1-2)*$Q$4+X45+1,0*$Q$5+W45+1)="",0,IF(INDEX($B$6:$M$17,($Q$3-1-2)*$Q$4+X45+1,0*$Q$5+W45+1)&lt;0,ABS(INDEX($B$6:$M$17,($Q$3-1-2)*$Q$4+X45+1,0*$Q$5+W45+1))/$Q$19*$Q$13,0)))</f>
        <v>0</v>
      </c>
      <c r="AO45">
        <f>IF(V45=1,0,IF(INDEX($B$6:$M$17,($Q$3-1-3)*$Q$4+X45+1,0*$Q$5+W45+1)="",0,IF(INDEX($B$6:$M$17,($Q$3-1-3)*$Q$4+X45+1,0*$Q$5+W45+1)&gt;=0,ABS(INDEX($B$6:$M$17,($Q$3-1-3)*$Q$4+X45+1,0*$Q$5+W45+1))/$Q$19*$Q$13,0)))</f>
        <v>0</v>
      </c>
      <c r="AP45">
        <f>IF(V45=1,0,IF(INDEX($B$6:$M$17,($Q$3-1-3)*$Q$4+X45+1,0*$Q$5+W45+1)="",0,IF(INDEX($B$6:$M$17,($Q$3-1-3)*$Q$4+X45+1,0*$Q$5+W45+1)&lt;0,ABS(INDEX($B$6:$M$17,($Q$3-1-3)*$Q$4+X45+1,0*$Q$5+W45+1))/$Q$19*$Q$13,0)))</f>
        <v>0</v>
      </c>
      <c r="AR45" t="str">
        <f>IF(V45=1,"",IF(INDEX($B$6:$M$17,($Q$3-1-0)*$Q$4+X45+1,0*$Q$5+W45+1)="","",IF(INDEX($B$6:$M$17,($Q$3-1-0)*$Q$4+X45+1,0*$Q$5+W45+1)&gt;=0,TEXT(INDEX($B$6:$M$17,($Q$3-1-0)*$Q$4+X45+1,0*$Q$5+W45+1),"+0;-0;0"),"")))</f>
        <v>+10</v>
      </c>
      <c r="AS45" t="str">
        <f>IF(V45=1,"",IF(INDEX($B$6:$M$17,($Q$3-1-0)*$Q$4+X45+1,0*$Q$5+W45+1)="","",IF(INDEX($B$6:$M$17,($Q$3-1-0)*$Q$4+X45+1,0*$Q$5+W45+1)&lt;0,TEXT(INDEX($B$6:$M$17,($Q$3-1-0)*$Q$4+X45+1,0*$Q$5+W45+1),"+0;-0;0"),"")))</f>
        <v/>
      </c>
      <c r="AT45" t="str">
        <f>IF(V45=1,"",IF(INDEX($B$6:$M$17,($Q$3-1-1)*$Q$4+X45+1,0*$Q$5+W45+1)="","",IF(INDEX($B$6:$M$17,($Q$3-1-1)*$Q$4+X45+1,0*$Q$5+W45+1)&gt;=0,TEXT(INDEX($B$6:$M$17,($Q$3-1-1)*$Q$4+X45+1,0*$Q$5+W45+1),"+0;-0;0"),"")))</f>
        <v/>
      </c>
      <c r="AU45" t="str">
        <f>IF(V45=1,"",IF(INDEX($B$6:$M$17,($Q$3-1-1)*$Q$4+X45+1,0*$Q$5+W45+1)="","",IF(INDEX($B$6:$M$17,($Q$3-1-1)*$Q$4+X45+1,0*$Q$5+W45+1)&lt;0,TEXT(INDEX($B$6:$M$17,($Q$3-1-1)*$Q$4+X45+1,0*$Q$5+W45+1),"+0;-0;0"),"")))</f>
        <v>-4</v>
      </c>
      <c r="AV45" t="str">
        <f>IF(V45=1,"",IF(INDEX($B$6:$M$17,($Q$3-1-2)*$Q$4+X45+1,0*$Q$5+W45+1)="","",IF(INDEX($B$6:$M$17,($Q$3-1-2)*$Q$4+X45+1,0*$Q$5+W45+1)&gt;=0,TEXT(INDEX($B$6:$M$17,($Q$3-1-2)*$Q$4+X45+1,0*$Q$5+W45+1),"+0;-0;0"),"")))</f>
        <v>+15</v>
      </c>
      <c r="AW45" t="str">
        <f>IF(V45=1,"",IF(INDEX($B$6:$M$17,($Q$3-1-2)*$Q$4+X45+1,0*$Q$5+W45+1)="","",IF(INDEX($B$6:$M$17,($Q$3-1-2)*$Q$4+X45+1,0*$Q$5+W45+1)&lt;0,TEXT(INDEX($B$6:$M$17,($Q$3-1-2)*$Q$4+X45+1,0*$Q$5+W45+1),"+0;-0;0"),"")))</f>
        <v/>
      </c>
      <c r="AX45" t="str">
        <f>IF(V45=1,"",IF(INDEX($B$6:$M$17,($Q$3-1-3)*$Q$4+X45+1,0*$Q$5+W45+1)="","",IF(INDEX($B$6:$M$17,($Q$3-1-3)*$Q$4+X45+1,0*$Q$5+W45+1)&gt;=0,TEXT(INDEX($B$6:$M$17,($Q$3-1-3)*$Q$4+X45+1,0*$Q$5+W45+1),"+0;-0;0"),"")))</f>
        <v>0</v>
      </c>
      <c r="AY45" t="str">
        <f>IF(V45=1,"",IF(INDEX($B$6:$M$17,($Q$3-1-3)*$Q$4+X45+1,0*$Q$5+W45+1)="","",IF(INDEX($B$6:$M$17,($Q$3-1-3)*$Q$4+X45+1,0*$Q$5+W45+1)&lt;0,TEXT(INDEX($B$6:$M$17,($Q$3-1-3)*$Q$4+X45+1,0*$Q$5+W45+1),"+0;-0;0"),"")))</f>
        <v/>
      </c>
      <c r="BG45">
        <v>16.5</v>
      </c>
      <c r="BH45">
        <f>IF(OR($Q$17&gt;0,$Q$18&lt;0),NA(),2+$Q$20)</f>
        <v>2.41</v>
      </c>
    </row>
    <row r="46" spans="16:68" x14ac:dyDescent="0.35">
      <c r="P46">
        <v>23</v>
      </c>
      <c r="Q46">
        <f>P46-$Q$12</f>
        <v>20</v>
      </c>
      <c r="R46">
        <f>IF(Q46&lt;=0,-1,INT((Q46-1)/($Q$10+$Q$11)))</f>
        <v>1</v>
      </c>
      <c r="S46">
        <f>IF(Q46&lt;=0,-1,MOD(Q46-1,($Q$10+$Q$11)))</f>
        <v>6</v>
      </c>
      <c r="T46">
        <f>IF(OR(S46&lt;0,S46&gt;=$Q$10),-1,INT(S46/$Q$9))</f>
        <v>6</v>
      </c>
      <c r="U46">
        <f>IF(OR(S46&lt;0,S46&gt;=$Q$10),-1,MOD(S46,$Q$9))</f>
        <v>0</v>
      </c>
      <c r="V46">
        <f>IF(OR(Q46&lt;=0,S46&lt;0,S46&gt;=$Q$10,R46&gt;=$Q$7),1,0)</f>
        <v>0</v>
      </c>
      <c r="W46">
        <f>IF(V46=1,-1,T46)</f>
        <v>6</v>
      </c>
      <c r="X46">
        <f>IF(V46=1,-1,R46)</f>
        <v>1</v>
      </c>
      <c r="Y46" t="str">
        <f>IF(V46=1,"",IF(AND(MOD(W46,3)=0,U46=INT(($Q$9-1)/2)),INDEX($B$5:$M$5,W46+1),""))</f>
        <v>Jul</v>
      </c>
      <c r="Z46">
        <f>IF(V46=1,NA(),IF(INDEX($B$6:$M$17,($Q$3-1-0)*$Q$4+X46+1,0*$Q$5+W46+1)="",NA(),IF(INDEX($B$6:$M$17,($Q$3-1-0)*$Q$4+X46+1,0*$Q$5+W46+1)&gt;=0,0+(INDEX($B$6:$M$17,($Q$3-1-0)*$Q$4+X46+1,0*$Q$5+W46+1)-$Q$17)/$Q$19*$Q$13,NA())))</f>
        <v>0.75166666666666659</v>
      </c>
      <c r="AA46" t="e">
        <f>IF(V46=1,NA(),IF(INDEX($B$6:$M$17,($Q$3-1-0)*$Q$4+X46+1,0*$Q$5+W46+1)="",NA(),IF(INDEX($B$6:$M$17,($Q$3-1-0)*$Q$4+X46+1,0*$Q$5+W46+1)&lt;0,0+(INDEX($B$6:$M$17,($Q$3-1-0)*$Q$4+X46+1,0*$Q$5+W46+1)-$Q$17)/$Q$19*$Q$13,NA())))</f>
        <v>#N/A</v>
      </c>
      <c r="AB46" t="e">
        <f>IF(V46=1,NA(),IF(INDEX($B$6:$M$17,($Q$3-1-1)*$Q$4+X46+1,0*$Q$5+W46+1)="",NA(),IF(INDEX($B$6:$M$17,($Q$3-1-1)*$Q$4+X46+1,0*$Q$5+W46+1)&gt;=0,1+(INDEX($B$6:$M$17,($Q$3-1-1)*$Q$4+X46+1,0*$Q$5+W46+1)-$Q$17)/$Q$19*$Q$13,NA())))</f>
        <v>#N/A</v>
      </c>
      <c r="AC46">
        <f>IF(V46=1,NA(),IF(INDEX($B$6:$M$17,($Q$3-1-1)*$Q$4+X46+1,0*$Q$5+W46+1)="",NA(),IF(INDEX($B$6:$M$17,($Q$3-1-1)*$Q$4+X46+1,0*$Q$5+W46+1)&lt;0,1+(INDEX($B$6:$M$17,($Q$3-1-1)*$Q$4+X46+1,0*$Q$5+W46+1)-$Q$17)/$Q$19*$Q$13,NA())))</f>
        <v>1.1093333333333333</v>
      </c>
      <c r="AD46" t="e">
        <f>IF(V46=1,NA(),IF(INDEX($B$6:$M$17,($Q$3-1-2)*$Q$4+X46+1,0*$Q$5+W46+1)="",NA(),IF(INDEX($B$6:$M$17,($Q$3-1-2)*$Q$4+X46+1,0*$Q$5+W46+1)&gt;=0,2+(INDEX($B$6:$M$17,($Q$3-1-2)*$Q$4+X46+1,0*$Q$5+W46+1)-$Q$17)/$Q$19*$Q$13,NA())))</f>
        <v>#N/A</v>
      </c>
      <c r="AE46">
        <f>IF(V46=1,NA(),IF(INDEX($B$6:$M$17,($Q$3-1-2)*$Q$4+X46+1,0*$Q$5+W46+1)="",NA(),IF(INDEX($B$6:$M$17,($Q$3-1-2)*$Q$4+X46+1,0*$Q$5+W46+1)&lt;0,2+(INDEX($B$6:$M$17,($Q$3-1-2)*$Q$4+X46+1,0*$Q$5+W46+1)-$Q$17)/$Q$19*$Q$13,NA())))</f>
        <v>2.3621666666666665</v>
      </c>
      <c r="AF46">
        <f>IF(V46=1,NA(),IF(INDEX($B$6:$M$17,($Q$3-1-3)*$Q$4+X46+1,0*$Q$5+W46+1)="",NA(),IF(INDEX($B$6:$M$17,($Q$3-1-3)*$Q$4+X46+1,0*$Q$5+W46+1)&gt;=0,3+(INDEX($B$6:$M$17,($Q$3-1-3)*$Q$4+X46+1,0*$Q$5+W46+1)-$Q$17)/$Q$19*$Q$13,NA())))</f>
        <v>3.6150000000000002</v>
      </c>
      <c r="AG46" t="e">
        <f>IF(V46=1,NA(),IF(INDEX($B$6:$M$17,($Q$3-1-3)*$Q$4+X46+1,0*$Q$5+W46+1)="",NA(),IF(INDEX($B$6:$M$17,($Q$3-1-3)*$Q$4+X46+1,0*$Q$5+W46+1)&lt;0,3+(INDEX($B$6:$M$17,($Q$3-1-3)*$Q$4+X46+1,0*$Q$5+W46+1)-$Q$17)/$Q$19*$Q$13,NA())))</f>
        <v>#N/A</v>
      </c>
      <c r="AI46">
        <f>IF(V46=1,0,IF(INDEX($B$6:$M$17,($Q$3-1-0)*$Q$4+X46+1,0*$Q$5+W46+1)="",0,IF(INDEX($B$6:$M$17,($Q$3-1-0)*$Q$4+X46+1,0*$Q$5+W46+1)&gt;=0,ABS(INDEX($B$6:$M$17,($Q$3-1-0)*$Q$4+X46+1,0*$Q$5+W46+1))/$Q$19*$Q$13,0)))</f>
        <v>0.34166666666666667</v>
      </c>
      <c r="AJ46">
        <f>IF(V46=1,0,IF(INDEX($B$6:$M$17,($Q$3-1-0)*$Q$4+X46+1,0*$Q$5+W46+1)="",0,IF(INDEX($B$6:$M$17,($Q$3-1-0)*$Q$4+X46+1,0*$Q$5+W46+1)&lt;0,ABS(INDEX($B$6:$M$17,($Q$3-1-0)*$Q$4+X46+1,0*$Q$5+W46+1))/$Q$19*$Q$13,0)))</f>
        <v>0</v>
      </c>
      <c r="AK46">
        <f>IF(V46=1,0,IF(INDEX($B$6:$M$17,($Q$3-1-1)*$Q$4+X46+1,0*$Q$5+W46+1)="",0,IF(INDEX($B$6:$M$17,($Q$3-1-1)*$Q$4+X46+1,0*$Q$5+W46+1)&gt;=0,ABS(INDEX($B$6:$M$17,($Q$3-1-1)*$Q$4+X46+1,0*$Q$5+W46+1))/$Q$19*$Q$13,0)))</f>
        <v>0</v>
      </c>
      <c r="AL46">
        <f>IF(V46=1,0,IF(INDEX($B$6:$M$17,($Q$3-1-1)*$Q$4+X46+1,0*$Q$5+W46+1)="",0,IF(INDEX($B$6:$M$17,($Q$3-1-1)*$Q$4+X46+1,0*$Q$5+W46+1)&lt;0,ABS(INDEX($B$6:$M$17,($Q$3-1-1)*$Q$4+X46+1,0*$Q$5+W46+1))/$Q$19*$Q$13,0)))</f>
        <v>0.30066666666666664</v>
      </c>
      <c r="AM46">
        <f>IF(V46=1,0,IF(INDEX($B$6:$M$17,($Q$3-1-2)*$Q$4+X46+1,0*$Q$5+W46+1)="",0,IF(INDEX($B$6:$M$17,($Q$3-1-2)*$Q$4+X46+1,0*$Q$5+W46+1)&gt;=0,ABS(INDEX($B$6:$M$17,($Q$3-1-2)*$Q$4+X46+1,0*$Q$5+W46+1))/$Q$19*$Q$13,0)))</f>
        <v>0</v>
      </c>
      <c r="AN46">
        <f>IF(V46=1,0,IF(INDEX($B$6:$M$17,($Q$3-1-2)*$Q$4+X46+1,0*$Q$5+W46+1)="",0,IF(INDEX($B$6:$M$17,($Q$3-1-2)*$Q$4+X46+1,0*$Q$5+W46+1)&lt;0,ABS(INDEX($B$6:$M$17,($Q$3-1-2)*$Q$4+X46+1,0*$Q$5+W46+1))/$Q$19*$Q$13,0)))</f>
        <v>4.7833333333333332E-2</v>
      </c>
      <c r="AO46">
        <f>IF(V46=1,0,IF(INDEX($B$6:$M$17,($Q$3-1-3)*$Q$4+X46+1,0*$Q$5+W46+1)="",0,IF(INDEX($B$6:$M$17,($Q$3-1-3)*$Q$4+X46+1,0*$Q$5+W46+1)&gt;=0,ABS(INDEX($B$6:$M$17,($Q$3-1-3)*$Q$4+X46+1,0*$Q$5+W46+1))/$Q$19*$Q$13,0)))</f>
        <v>0.20499999999999999</v>
      </c>
      <c r="AP46">
        <f>IF(V46=1,0,IF(INDEX($B$6:$M$17,($Q$3-1-3)*$Q$4+X46+1,0*$Q$5+W46+1)="",0,IF(INDEX($B$6:$M$17,($Q$3-1-3)*$Q$4+X46+1,0*$Q$5+W46+1)&lt;0,ABS(INDEX($B$6:$M$17,($Q$3-1-3)*$Q$4+X46+1,0*$Q$5+W46+1))/$Q$19*$Q$13,0)))</f>
        <v>0</v>
      </c>
      <c r="AR46" t="str">
        <f>IF(V46=1,"",IF(INDEX($B$6:$M$17,($Q$3-1-0)*$Q$4+X46+1,0*$Q$5+W46+1)="","",IF(INDEX($B$6:$M$17,($Q$3-1-0)*$Q$4+X46+1,0*$Q$5+W46+1)&gt;=0,TEXT(INDEX($B$6:$M$17,($Q$3-1-0)*$Q$4+X46+1,0*$Q$5+W46+1),"+0;-0;0"),"")))</f>
        <v>+25</v>
      </c>
      <c r="AS46" t="str">
        <f>IF(V46=1,"",IF(INDEX($B$6:$M$17,($Q$3-1-0)*$Q$4+X46+1,0*$Q$5+W46+1)="","",IF(INDEX($B$6:$M$17,($Q$3-1-0)*$Q$4+X46+1,0*$Q$5+W46+1)&lt;0,TEXT(INDEX($B$6:$M$17,($Q$3-1-0)*$Q$4+X46+1,0*$Q$5+W46+1),"+0;-0;0"),"")))</f>
        <v/>
      </c>
      <c r="AT46" t="str">
        <f>IF(V46=1,"",IF(INDEX($B$6:$M$17,($Q$3-1-1)*$Q$4+X46+1,0*$Q$5+W46+1)="","",IF(INDEX($B$6:$M$17,($Q$3-1-1)*$Q$4+X46+1,0*$Q$5+W46+1)&gt;=0,TEXT(INDEX($B$6:$M$17,($Q$3-1-1)*$Q$4+X46+1,0*$Q$5+W46+1),"+0;-0;0"),"")))</f>
        <v/>
      </c>
      <c r="AU46" t="str">
        <f>IF(V46=1,"",IF(INDEX($B$6:$M$17,($Q$3-1-1)*$Q$4+X46+1,0*$Q$5+W46+1)="","",IF(INDEX($B$6:$M$17,($Q$3-1-1)*$Q$4+X46+1,0*$Q$5+W46+1)&lt;0,TEXT(INDEX($B$6:$M$17,($Q$3-1-1)*$Q$4+X46+1,0*$Q$5+W46+1),"+0;-0;0"),"")))</f>
        <v>-22</v>
      </c>
      <c r="AV46" t="str">
        <f>IF(V46=1,"",IF(INDEX($B$6:$M$17,($Q$3-1-2)*$Q$4+X46+1,0*$Q$5+W46+1)="","",IF(INDEX($B$6:$M$17,($Q$3-1-2)*$Q$4+X46+1,0*$Q$5+W46+1)&gt;=0,TEXT(INDEX($B$6:$M$17,($Q$3-1-2)*$Q$4+X46+1,0*$Q$5+W46+1),"+0;-0;0"),"")))</f>
        <v/>
      </c>
      <c r="AW46" t="str">
        <f>IF(V46=1,"",IF(INDEX($B$6:$M$17,($Q$3-1-2)*$Q$4+X46+1,0*$Q$5+W46+1)="","",IF(INDEX($B$6:$M$17,($Q$3-1-2)*$Q$4+X46+1,0*$Q$5+W46+1)&lt;0,TEXT(INDEX($B$6:$M$17,($Q$3-1-2)*$Q$4+X46+1,0*$Q$5+W46+1),"+0;-0;0"),"")))</f>
        <v>-4</v>
      </c>
      <c r="AX46" t="str">
        <f>IF(V46=1,"",IF(INDEX($B$6:$M$17,($Q$3-1-3)*$Q$4+X46+1,0*$Q$5+W46+1)="","",IF(INDEX($B$6:$M$17,($Q$3-1-3)*$Q$4+X46+1,0*$Q$5+W46+1)&gt;=0,TEXT(INDEX($B$6:$M$17,($Q$3-1-3)*$Q$4+X46+1,0*$Q$5+W46+1),"+0;-0;0"),"")))</f>
        <v>+15</v>
      </c>
      <c r="AY46" t="str">
        <f>IF(V46=1,"",IF(INDEX($B$6:$M$17,($Q$3-1-3)*$Q$4+X46+1,0*$Q$5+W46+1)="","",IF(INDEX($B$6:$M$17,($Q$3-1-3)*$Q$4+X46+1,0*$Q$5+W46+1)&lt;0,TEXT(INDEX($B$6:$M$17,($Q$3-1-3)*$Q$4+X46+1,0*$Q$5+W46+1),"+0;-0;0"),"")))</f>
        <v/>
      </c>
      <c r="BG46">
        <v>28.5</v>
      </c>
      <c r="BH46">
        <f>IF(OR($Q$17&gt;0,$Q$18&lt;0),NA(),2+$Q$20)</f>
        <v>2.41</v>
      </c>
    </row>
    <row r="47" spans="16:68" x14ac:dyDescent="0.35">
      <c r="P47">
        <v>24</v>
      </c>
      <c r="Q47">
        <f>P47-$Q$12</f>
        <v>21</v>
      </c>
      <c r="R47">
        <f>IF(Q47&lt;=0,-1,INT((Q47-1)/($Q$10+$Q$11)))</f>
        <v>1</v>
      </c>
      <c r="S47">
        <f>IF(Q47&lt;=0,-1,MOD(Q47-1,($Q$10+$Q$11)))</f>
        <v>7</v>
      </c>
      <c r="T47">
        <f>IF(OR(S47&lt;0,S47&gt;=$Q$10),-1,INT(S47/$Q$9))</f>
        <v>7</v>
      </c>
      <c r="U47">
        <f>IF(OR(S47&lt;0,S47&gt;=$Q$10),-1,MOD(S47,$Q$9))</f>
        <v>0</v>
      </c>
      <c r="V47">
        <f>IF(OR(Q47&lt;=0,S47&lt;0,S47&gt;=$Q$10,R47&gt;=$Q$7),1,0)</f>
        <v>0</v>
      </c>
      <c r="W47">
        <f>IF(V47=1,-1,T47)</f>
        <v>7</v>
      </c>
      <c r="X47">
        <f>IF(V47=1,-1,R47)</f>
        <v>1</v>
      </c>
      <c r="Y47" t="str">
        <f>IF(V47=1,"",IF(AND(MOD(W47,3)=0,U47=INT(($Q$9-1)/2)),INDEX($B$5:$M$5,W47+1),""))</f>
        <v/>
      </c>
      <c r="Z47">
        <f>IF(V47=1,NA(),IF(INDEX($B$6:$M$17,($Q$3-1-0)*$Q$4+X47+1,0*$Q$5+W47+1)="",NA(),IF(INDEX($B$6:$M$17,($Q$3-1-0)*$Q$4+X47+1,0*$Q$5+W47+1)&gt;=0,0+(INDEX($B$6:$M$17,($Q$3-1-0)*$Q$4+X47+1,0*$Q$5+W47+1)-$Q$17)/$Q$19*$Q$13,NA())))</f>
        <v>0.50566666666666671</v>
      </c>
      <c r="AA47" t="e">
        <f>IF(V47=1,NA(),IF(INDEX($B$6:$M$17,($Q$3-1-0)*$Q$4+X47+1,0*$Q$5+W47+1)="",NA(),IF(INDEX($B$6:$M$17,($Q$3-1-0)*$Q$4+X47+1,0*$Q$5+W47+1)&lt;0,0+(INDEX($B$6:$M$17,($Q$3-1-0)*$Q$4+X47+1,0*$Q$5+W47+1)-$Q$17)/$Q$19*$Q$13,NA())))</f>
        <v>#N/A</v>
      </c>
      <c r="AB47" t="e">
        <f>IF(V47=1,NA(),IF(INDEX($B$6:$M$17,($Q$3-1-1)*$Q$4+X47+1,0*$Q$5+W47+1)="",NA(),IF(INDEX($B$6:$M$17,($Q$3-1-1)*$Q$4+X47+1,0*$Q$5+W47+1)&gt;=0,1+(INDEX($B$6:$M$17,($Q$3-1-1)*$Q$4+X47+1,0*$Q$5+W47+1)-$Q$17)/$Q$19*$Q$13,NA())))</f>
        <v>#N/A</v>
      </c>
      <c r="AC47">
        <f>IF(V47=1,NA(),IF(INDEX($B$6:$M$17,($Q$3-1-1)*$Q$4+X47+1,0*$Q$5+W47+1)="",NA(),IF(INDEX($B$6:$M$17,($Q$3-1-1)*$Q$4+X47+1,0*$Q$5+W47+1)&lt;0,1+(INDEX($B$6:$M$17,($Q$3-1-1)*$Q$4+X47+1,0*$Q$5+W47+1)-$Q$17)/$Q$19*$Q$13,NA())))</f>
        <v>1.3143333333333334</v>
      </c>
      <c r="AD47">
        <f>IF(V47=1,NA(),IF(INDEX($B$6:$M$17,($Q$3-1-2)*$Q$4+X47+1,0*$Q$5+W47+1)="",NA(),IF(INDEX($B$6:$M$17,($Q$3-1-2)*$Q$4+X47+1,0*$Q$5+W47+1)&gt;=0,2+(INDEX($B$6:$M$17,($Q$3-1-2)*$Q$4+X47+1,0*$Q$5+W47+1)-$Q$17)/$Q$19*$Q$13,NA())))</f>
        <v>2.5671666666666666</v>
      </c>
      <c r="AE47" t="e">
        <f>IF(V47=1,NA(),IF(INDEX($B$6:$M$17,($Q$3-1-2)*$Q$4+X47+1,0*$Q$5+W47+1)="",NA(),IF(INDEX($B$6:$M$17,($Q$3-1-2)*$Q$4+X47+1,0*$Q$5+W47+1)&lt;0,2+(INDEX($B$6:$M$17,($Q$3-1-2)*$Q$4+X47+1,0*$Q$5+W47+1)-$Q$17)/$Q$19*$Q$13,NA())))</f>
        <v>#N/A</v>
      </c>
      <c r="AF47">
        <f>IF(V47=1,NA(),IF(INDEX($B$6:$M$17,($Q$3-1-3)*$Q$4+X47+1,0*$Q$5+W47+1)="",NA(),IF(INDEX($B$6:$M$17,($Q$3-1-3)*$Q$4+X47+1,0*$Q$5+W47+1)&gt;=0,3+(INDEX($B$6:$M$17,($Q$3-1-3)*$Q$4+X47+1,0*$Q$5+W47+1)-$Q$17)/$Q$19*$Q$13,NA())))</f>
        <v>3.82</v>
      </c>
      <c r="AG47" t="e">
        <f>IF(V47=1,NA(),IF(INDEX($B$6:$M$17,($Q$3-1-3)*$Q$4+X47+1,0*$Q$5+W47+1)="",NA(),IF(INDEX($B$6:$M$17,($Q$3-1-3)*$Q$4+X47+1,0*$Q$5+W47+1)&lt;0,3+(INDEX($B$6:$M$17,($Q$3-1-3)*$Q$4+X47+1,0*$Q$5+W47+1)-$Q$17)/$Q$19*$Q$13,NA())))</f>
        <v>#N/A</v>
      </c>
      <c r="AI47">
        <f>IF(V47=1,0,IF(INDEX($B$6:$M$17,($Q$3-1-0)*$Q$4+X47+1,0*$Q$5+W47+1)="",0,IF(INDEX($B$6:$M$17,($Q$3-1-0)*$Q$4+X47+1,0*$Q$5+W47+1)&gt;=0,ABS(INDEX($B$6:$M$17,($Q$3-1-0)*$Q$4+X47+1,0*$Q$5+W47+1))/$Q$19*$Q$13,0)))</f>
        <v>9.5666666666666664E-2</v>
      </c>
      <c r="AJ47">
        <f>IF(V47=1,0,IF(INDEX($B$6:$M$17,($Q$3-1-0)*$Q$4+X47+1,0*$Q$5+W47+1)="",0,IF(INDEX($B$6:$M$17,($Q$3-1-0)*$Q$4+X47+1,0*$Q$5+W47+1)&lt;0,ABS(INDEX($B$6:$M$17,($Q$3-1-0)*$Q$4+X47+1,0*$Q$5+W47+1))/$Q$19*$Q$13,0)))</f>
        <v>0</v>
      </c>
      <c r="AK47">
        <f>IF(V47=1,0,IF(INDEX($B$6:$M$17,($Q$3-1-1)*$Q$4+X47+1,0*$Q$5+W47+1)="",0,IF(INDEX($B$6:$M$17,($Q$3-1-1)*$Q$4+X47+1,0*$Q$5+W47+1)&gt;=0,ABS(INDEX($B$6:$M$17,($Q$3-1-1)*$Q$4+X47+1,0*$Q$5+W47+1))/$Q$19*$Q$13,0)))</f>
        <v>0</v>
      </c>
      <c r="AL47">
        <f>IF(V47=1,0,IF(INDEX($B$6:$M$17,($Q$3-1-1)*$Q$4+X47+1,0*$Q$5+W47+1)="",0,IF(INDEX($B$6:$M$17,($Q$3-1-1)*$Q$4+X47+1,0*$Q$5+W47+1)&lt;0,ABS(INDEX($B$6:$M$17,($Q$3-1-1)*$Q$4+X47+1,0*$Q$5+W47+1))/$Q$19*$Q$13,0)))</f>
        <v>9.5666666666666664E-2</v>
      </c>
      <c r="AM47">
        <f>IF(V47=1,0,IF(INDEX($B$6:$M$17,($Q$3-1-2)*$Q$4+X47+1,0*$Q$5+W47+1)="",0,IF(INDEX($B$6:$M$17,($Q$3-1-2)*$Q$4+X47+1,0*$Q$5+W47+1)&gt;=0,ABS(INDEX($B$6:$M$17,($Q$3-1-2)*$Q$4+X47+1,0*$Q$5+W47+1))/$Q$19*$Q$13,0)))</f>
        <v>0.15716666666666668</v>
      </c>
      <c r="AN47">
        <f>IF(V47=1,0,IF(INDEX($B$6:$M$17,($Q$3-1-2)*$Q$4+X47+1,0*$Q$5+W47+1)="",0,IF(INDEX($B$6:$M$17,($Q$3-1-2)*$Q$4+X47+1,0*$Q$5+W47+1)&lt;0,ABS(INDEX($B$6:$M$17,($Q$3-1-2)*$Q$4+X47+1,0*$Q$5+W47+1))/$Q$19*$Q$13,0)))</f>
        <v>0</v>
      </c>
      <c r="AO47">
        <f>IF(V47=1,0,IF(INDEX($B$6:$M$17,($Q$3-1-3)*$Q$4+X47+1,0*$Q$5+W47+1)="",0,IF(INDEX($B$6:$M$17,($Q$3-1-3)*$Q$4+X47+1,0*$Q$5+W47+1)&gt;=0,ABS(INDEX($B$6:$M$17,($Q$3-1-3)*$Q$4+X47+1,0*$Q$5+W47+1))/$Q$19*$Q$13,0)))</f>
        <v>0.41</v>
      </c>
      <c r="AP47">
        <f>IF(V47=1,0,IF(INDEX($B$6:$M$17,($Q$3-1-3)*$Q$4+X47+1,0*$Q$5+W47+1)="",0,IF(INDEX($B$6:$M$17,($Q$3-1-3)*$Q$4+X47+1,0*$Q$5+W47+1)&lt;0,ABS(INDEX($B$6:$M$17,($Q$3-1-3)*$Q$4+X47+1,0*$Q$5+W47+1))/$Q$19*$Q$13,0)))</f>
        <v>0</v>
      </c>
      <c r="AR47" t="str">
        <f>IF(V47=1,"",IF(INDEX($B$6:$M$17,($Q$3-1-0)*$Q$4+X47+1,0*$Q$5+W47+1)="","",IF(INDEX($B$6:$M$17,($Q$3-1-0)*$Q$4+X47+1,0*$Q$5+W47+1)&gt;=0,TEXT(INDEX($B$6:$M$17,($Q$3-1-0)*$Q$4+X47+1,0*$Q$5+W47+1),"+0;-0;0"),"")))</f>
        <v>+7</v>
      </c>
      <c r="AS47" t="str">
        <f>IF(V47=1,"",IF(INDEX($B$6:$M$17,($Q$3-1-0)*$Q$4+X47+1,0*$Q$5+W47+1)="","",IF(INDEX($B$6:$M$17,($Q$3-1-0)*$Q$4+X47+1,0*$Q$5+W47+1)&lt;0,TEXT(INDEX($B$6:$M$17,($Q$3-1-0)*$Q$4+X47+1,0*$Q$5+W47+1),"+0;-0;0"),"")))</f>
        <v/>
      </c>
      <c r="AT47" t="str">
        <f>IF(V47=1,"",IF(INDEX($B$6:$M$17,($Q$3-1-1)*$Q$4+X47+1,0*$Q$5+W47+1)="","",IF(INDEX($B$6:$M$17,($Q$3-1-1)*$Q$4+X47+1,0*$Q$5+W47+1)&gt;=0,TEXT(INDEX($B$6:$M$17,($Q$3-1-1)*$Q$4+X47+1,0*$Q$5+W47+1),"+0;-0;0"),"")))</f>
        <v/>
      </c>
      <c r="AU47" t="str">
        <f>IF(V47=1,"",IF(INDEX($B$6:$M$17,($Q$3-1-1)*$Q$4+X47+1,0*$Q$5+W47+1)="","",IF(INDEX($B$6:$M$17,($Q$3-1-1)*$Q$4+X47+1,0*$Q$5+W47+1)&lt;0,TEXT(INDEX($B$6:$M$17,($Q$3-1-1)*$Q$4+X47+1,0*$Q$5+W47+1),"+0;-0;0"),"")))</f>
        <v>-7</v>
      </c>
      <c r="AV47" t="str">
        <f>IF(V47=1,"",IF(INDEX($B$6:$M$17,($Q$3-1-2)*$Q$4+X47+1,0*$Q$5+W47+1)="","",IF(INDEX($B$6:$M$17,($Q$3-1-2)*$Q$4+X47+1,0*$Q$5+W47+1)&gt;=0,TEXT(INDEX($B$6:$M$17,($Q$3-1-2)*$Q$4+X47+1,0*$Q$5+W47+1),"+0;-0;0"),"")))</f>
        <v>+12</v>
      </c>
      <c r="AW47" t="str">
        <f>IF(V47=1,"",IF(INDEX($B$6:$M$17,($Q$3-1-2)*$Q$4+X47+1,0*$Q$5+W47+1)="","",IF(INDEX($B$6:$M$17,($Q$3-1-2)*$Q$4+X47+1,0*$Q$5+W47+1)&lt;0,TEXT(INDEX($B$6:$M$17,($Q$3-1-2)*$Q$4+X47+1,0*$Q$5+W47+1),"+0;-0;0"),"")))</f>
        <v/>
      </c>
      <c r="AX47" t="str">
        <f>IF(V47=1,"",IF(INDEX($B$6:$M$17,($Q$3-1-3)*$Q$4+X47+1,0*$Q$5+W47+1)="","",IF(INDEX($B$6:$M$17,($Q$3-1-3)*$Q$4+X47+1,0*$Q$5+W47+1)&gt;=0,TEXT(INDEX($B$6:$M$17,($Q$3-1-3)*$Q$4+X47+1,0*$Q$5+W47+1),"+0;-0;0"),"")))</f>
        <v>+30</v>
      </c>
      <c r="AY47" t="str">
        <f>IF(V47=1,"",IF(INDEX($B$6:$M$17,($Q$3-1-3)*$Q$4+X47+1,0*$Q$5+W47+1)="","",IF(INDEX($B$6:$M$17,($Q$3-1-3)*$Q$4+X47+1,0*$Q$5+W47+1)&lt;0,TEXT(INDEX($B$6:$M$17,($Q$3-1-3)*$Q$4+X47+1,0*$Q$5+W47+1),"+0;-0;0"),"")))</f>
        <v/>
      </c>
      <c r="BG47">
        <v>28.5</v>
      </c>
      <c r="BH47" t="e">
        <f>NA()</f>
        <v>#N/A</v>
      </c>
    </row>
    <row r="48" spans="16:68" x14ac:dyDescent="0.35">
      <c r="P48">
        <v>25</v>
      </c>
      <c r="Q48">
        <f>P48-$Q$12</f>
        <v>22</v>
      </c>
      <c r="R48">
        <f>IF(Q48&lt;=0,-1,INT((Q48-1)/($Q$10+$Q$11)))</f>
        <v>1</v>
      </c>
      <c r="S48">
        <f>IF(Q48&lt;=0,-1,MOD(Q48-1,($Q$10+$Q$11)))</f>
        <v>8</v>
      </c>
      <c r="T48">
        <f>IF(OR(S48&lt;0,S48&gt;=$Q$10),-1,INT(S48/$Q$9))</f>
        <v>8</v>
      </c>
      <c r="U48">
        <f>IF(OR(S48&lt;0,S48&gt;=$Q$10),-1,MOD(S48,$Q$9))</f>
        <v>0</v>
      </c>
      <c r="V48">
        <f>IF(OR(Q48&lt;=0,S48&lt;0,S48&gt;=$Q$10,R48&gt;=$Q$7),1,0)</f>
        <v>0</v>
      </c>
      <c r="W48">
        <f>IF(V48=1,-1,T48)</f>
        <v>8</v>
      </c>
      <c r="X48">
        <f>IF(V48=1,-1,R48)</f>
        <v>1</v>
      </c>
      <c r="Y48" t="str">
        <f>IF(V48=1,"",IF(AND(MOD(W48,3)=0,U48=INT(($Q$9-1)/2)),INDEX($B$5:$M$5,W48+1),""))</f>
        <v/>
      </c>
      <c r="Z48">
        <f>IF(V48=1,NA(),IF(INDEX($B$6:$M$17,($Q$3-1-0)*$Q$4+X48+1,0*$Q$5+W48+1)="",NA(),IF(INDEX($B$6:$M$17,($Q$3-1-0)*$Q$4+X48+1,0*$Q$5+W48+1)&gt;=0,0+(INDEX($B$6:$M$17,($Q$3-1-0)*$Q$4+X48+1,0*$Q$5+W48+1)-$Q$17)/$Q$19*$Q$13,NA())))</f>
        <v>0.71066666666666667</v>
      </c>
      <c r="AA48" t="e">
        <f>IF(V48=1,NA(),IF(INDEX($B$6:$M$17,($Q$3-1-0)*$Q$4+X48+1,0*$Q$5+W48+1)="",NA(),IF(INDEX($B$6:$M$17,($Q$3-1-0)*$Q$4+X48+1,0*$Q$5+W48+1)&lt;0,0+(INDEX($B$6:$M$17,($Q$3-1-0)*$Q$4+X48+1,0*$Q$5+W48+1)-$Q$17)/$Q$19*$Q$13,NA())))</f>
        <v>#N/A</v>
      </c>
      <c r="AB48" t="e">
        <f>IF(V48=1,NA(),IF(INDEX($B$6:$M$17,($Q$3-1-1)*$Q$4+X48+1,0*$Q$5+W48+1)="",NA(),IF(INDEX($B$6:$M$17,($Q$3-1-1)*$Q$4+X48+1,0*$Q$5+W48+1)&gt;=0,1+(INDEX($B$6:$M$17,($Q$3-1-1)*$Q$4+X48+1,0*$Q$5+W48+1)-$Q$17)/$Q$19*$Q$13,NA())))</f>
        <v>#N/A</v>
      </c>
      <c r="AC48">
        <f>IF(V48=1,NA(),IF(INDEX($B$6:$M$17,($Q$3-1-1)*$Q$4+X48+1,0*$Q$5+W48+1)="",NA(),IF(INDEX($B$6:$M$17,($Q$3-1-1)*$Q$4+X48+1,0*$Q$5+W48+1)&lt;0,1+(INDEX($B$6:$M$17,($Q$3-1-1)*$Q$4+X48+1,0*$Q$5+W48+1)-$Q$17)/$Q$19*$Q$13,NA())))</f>
        <v>1.0683333333333334</v>
      </c>
      <c r="AD48" t="e">
        <f>IF(V48=1,NA(),IF(INDEX($B$6:$M$17,($Q$3-1-2)*$Q$4+X48+1,0*$Q$5+W48+1)="",NA(),IF(INDEX($B$6:$M$17,($Q$3-1-2)*$Q$4+X48+1,0*$Q$5+W48+1)&gt;=0,2+(INDEX($B$6:$M$17,($Q$3-1-2)*$Q$4+X48+1,0*$Q$5+W48+1)-$Q$17)/$Q$19*$Q$13,NA())))</f>
        <v>#N/A</v>
      </c>
      <c r="AE48">
        <f>IF(V48=1,NA(),IF(INDEX($B$6:$M$17,($Q$3-1-2)*$Q$4+X48+1,0*$Q$5+W48+1)="",NA(),IF(INDEX($B$6:$M$17,($Q$3-1-2)*$Q$4+X48+1,0*$Q$5+W48+1)&lt;0,2+(INDEX($B$6:$M$17,($Q$3-1-2)*$Q$4+X48+1,0*$Q$5+W48+1)-$Q$17)/$Q$19*$Q$13,NA())))</f>
        <v>2.3211666666666666</v>
      </c>
      <c r="AF48">
        <f>IF(V48=1,NA(),IF(INDEX($B$6:$M$17,($Q$3-1-3)*$Q$4+X48+1,0*$Q$5+W48+1)="",NA(),IF(INDEX($B$6:$M$17,($Q$3-1-3)*$Q$4+X48+1,0*$Q$5+W48+1)&gt;=0,3+(INDEX($B$6:$M$17,($Q$3-1-3)*$Q$4+X48+1,0*$Q$5+W48+1)-$Q$17)/$Q$19*$Q$13,NA())))</f>
        <v>3.5739999999999998</v>
      </c>
      <c r="AG48" t="e">
        <f>IF(V48=1,NA(),IF(INDEX($B$6:$M$17,($Q$3-1-3)*$Q$4+X48+1,0*$Q$5+W48+1)="",NA(),IF(INDEX($B$6:$M$17,($Q$3-1-3)*$Q$4+X48+1,0*$Q$5+W48+1)&lt;0,3+(INDEX($B$6:$M$17,($Q$3-1-3)*$Q$4+X48+1,0*$Q$5+W48+1)-$Q$17)/$Q$19*$Q$13,NA())))</f>
        <v>#N/A</v>
      </c>
      <c r="AI48">
        <f>IF(V48=1,0,IF(INDEX($B$6:$M$17,($Q$3-1-0)*$Q$4+X48+1,0*$Q$5+W48+1)="",0,IF(INDEX($B$6:$M$17,($Q$3-1-0)*$Q$4+X48+1,0*$Q$5+W48+1)&gt;=0,ABS(INDEX($B$6:$M$17,($Q$3-1-0)*$Q$4+X48+1,0*$Q$5+W48+1))/$Q$19*$Q$13,0)))</f>
        <v>0.30066666666666664</v>
      </c>
      <c r="AJ48">
        <f>IF(V48=1,0,IF(INDEX($B$6:$M$17,($Q$3-1-0)*$Q$4+X48+1,0*$Q$5+W48+1)="",0,IF(INDEX($B$6:$M$17,($Q$3-1-0)*$Q$4+X48+1,0*$Q$5+W48+1)&lt;0,ABS(INDEX($B$6:$M$17,($Q$3-1-0)*$Q$4+X48+1,0*$Q$5+W48+1))/$Q$19*$Q$13,0)))</f>
        <v>0</v>
      </c>
      <c r="AK48">
        <f>IF(V48=1,0,IF(INDEX($B$6:$M$17,($Q$3-1-1)*$Q$4+X48+1,0*$Q$5+W48+1)="",0,IF(INDEX($B$6:$M$17,($Q$3-1-1)*$Q$4+X48+1,0*$Q$5+W48+1)&gt;=0,ABS(INDEX($B$6:$M$17,($Q$3-1-1)*$Q$4+X48+1,0*$Q$5+W48+1))/$Q$19*$Q$13,0)))</f>
        <v>0</v>
      </c>
      <c r="AL48">
        <f>IF(V48=1,0,IF(INDEX($B$6:$M$17,($Q$3-1-1)*$Q$4+X48+1,0*$Q$5+W48+1)="",0,IF(INDEX($B$6:$M$17,($Q$3-1-1)*$Q$4+X48+1,0*$Q$5+W48+1)&lt;0,ABS(INDEX($B$6:$M$17,($Q$3-1-1)*$Q$4+X48+1,0*$Q$5+W48+1))/$Q$19*$Q$13,0)))</f>
        <v>0.34166666666666667</v>
      </c>
      <c r="AM48">
        <f>IF(V48=1,0,IF(INDEX($B$6:$M$17,($Q$3-1-2)*$Q$4+X48+1,0*$Q$5+W48+1)="",0,IF(INDEX($B$6:$M$17,($Q$3-1-2)*$Q$4+X48+1,0*$Q$5+W48+1)&gt;=0,ABS(INDEX($B$6:$M$17,($Q$3-1-2)*$Q$4+X48+1,0*$Q$5+W48+1))/$Q$19*$Q$13,0)))</f>
        <v>0</v>
      </c>
      <c r="AN48">
        <f>IF(V48=1,0,IF(INDEX($B$6:$M$17,($Q$3-1-2)*$Q$4+X48+1,0*$Q$5+W48+1)="",0,IF(INDEX($B$6:$M$17,($Q$3-1-2)*$Q$4+X48+1,0*$Q$5+W48+1)&lt;0,ABS(INDEX($B$6:$M$17,($Q$3-1-2)*$Q$4+X48+1,0*$Q$5+W48+1))/$Q$19*$Q$13,0)))</f>
        <v>8.8833333333333334E-2</v>
      </c>
      <c r="AO48">
        <f>IF(V48=1,0,IF(INDEX($B$6:$M$17,($Q$3-1-3)*$Q$4+X48+1,0*$Q$5+W48+1)="",0,IF(INDEX($B$6:$M$17,($Q$3-1-3)*$Q$4+X48+1,0*$Q$5+W48+1)&gt;=0,ABS(INDEX($B$6:$M$17,($Q$3-1-3)*$Q$4+X48+1,0*$Q$5+W48+1))/$Q$19*$Q$13,0)))</f>
        <v>0.16400000000000001</v>
      </c>
      <c r="AP48">
        <f>IF(V48=1,0,IF(INDEX($B$6:$M$17,($Q$3-1-3)*$Q$4+X48+1,0*$Q$5+W48+1)="",0,IF(INDEX($B$6:$M$17,($Q$3-1-3)*$Q$4+X48+1,0*$Q$5+W48+1)&lt;0,ABS(INDEX($B$6:$M$17,($Q$3-1-3)*$Q$4+X48+1,0*$Q$5+W48+1))/$Q$19*$Q$13,0)))</f>
        <v>0</v>
      </c>
      <c r="AR48" t="str">
        <f>IF(V48=1,"",IF(INDEX($B$6:$M$17,($Q$3-1-0)*$Q$4+X48+1,0*$Q$5+W48+1)="","",IF(INDEX($B$6:$M$17,($Q$3-1-0)*$Q$4+X48+1,0*$Q$5+W48+1)&gt;=0,TEXT(INDEX($B$6:$M$17,($Q$3-1-0)*$Q$4+X48+1,0*$Q$5+W48+1),"+0;-0;0"),"")))</f>
        <v>+22</v>
      </c>
      <c r="AS48" t="str">
        <f>IF(V48=1,"",IF(INDEX($B$6:$M$17,($Q$3-1-0)*$Q$4+X48+1,0*$Q$5+W48+1)="","",IF(INDEX($B$6:$M$17,($Q$3-1-0)*$Q$4+X48+1,0*$Q$5+W48+1)&lt;0,TEXT(INDEX($B$6:$M$17,($Q$3-1-0)*$Q$4+X48+1,0*$Q$5+W48+1),"+0;-0;0"),"")))</f>
        <v/>
      </c>
      <c r="AT48" t="str">
        <f>IF(V48=1,"",IF(INDEX($B$6:$M$17,($Q$3-1-1)*$Q$4+X48+1,0*$Q$5+W48+1)="","",IF(INDEX($B$6:$M$17,($Q$3-1-1)*$Q$4+X48+1,0*$Q$5+W48+1)&gt;=0,TEXT(INDEX($B$6:$M$17,($Q$3-1-1)*$Q$4+X48+1,0*$Q$5+W48+1),"+0;-0;0"),"")))</f>
        <v/>
      </c>
      <c r="AU48" t="str">
        <f>IF(V48=1,"",IF(INDEX($B$6:$M$17,($Q$3-1-1)*$Q$4+X48+1,0*$Q$5+W48+1)="","",IF(INDEX($B$6:$M$17,($Q$3-1-1)*$Q$4+X48+1,0*$Q$5+W48+1)&lt;0,TEXT(INDEX($B$6:$M$17,($Q$3-1-1)*$Q$4+X48+1,0*$Q$5+W48+1),"+0;-0;0"),"")))</f>
        <v>-25</v>
      </c>
      <c r="AV48" t="str">
        <f>IF(V48=1,"",IF(INDEX($B$6:$M$17,($Q$3-1-2)*$Q$4+X48+1,0*$Q$5+W48+1)="","",IF(INDEX($B$6:$M$17,($Q$3-1-2)*$Q$4+X48+1,0*$Q$5+W48+1)&gt;=0,TEXT(INDEX($B$6:$M$17,($Q$3-1-2)*$Q$4+X48+1,0*$Q$5+W48+1),"+0;-0;0"),"")))</f>
        <v/>
      </c>
      <c r="AW48" t="str">
        <f>IF(V48=1,"",IF(INDEX($B$6:$M$17,($Q$3-1-2)*$Q$4+X48+1,0*$Q$5+W48+1)="","",IF(INDEX($B$6:$M$17,($Q$3-1-2)*$Q$4+X48+1,0*$Q$5+W48+1)&lt;0,TEXT(INDEX($B$6:$M$17,($Q$3-1-2)*$Q$4+X48+1,0*$Q$5+W48+1),"+0;-0;0"),"")))</f>
        <v>-7</v>
      </c>
      <c r="AX48" t="str">
        <f>IF(V48=1,"",IF(INDEX($B$6:$M$17,($Q$3-1-3)*$Q$4+X48+1,0*$Q$5+W48+1)="","",IF(INDEX($B$6:$M$17,($Q$3-1-3)*$Q$4+X48+1,0*$Q$5+W48+1)&gt;=0,TEXT(INDEX($B$6:$M$17,($Q$3-1-3)*$Q$4+X48+1,0*$Q$5+W48+1),"+0;-0;0"),"")))</f>
        <v>+12</v>
      </c>
      <c r="AY48" t="str">
        <f>IF(V48=1,"",IF(INDEX($B$6:$M$17,($Q$3-1-3)*$Q$4+X48+1,0*$Q$5+W48+1)="","",IF(INDEX($B$6:$M$17,($Q$3-1-3)*$Q$4+X48+1,0*$Q$5+W48+1)&lt;0,TEXT(INDEX($B$6:$M$17,($Q$3-1-3)*$Q$4+X48+1,0*$Q$5+W48+1),"+0;-0;0"),"")))</f>
        <v/>
      </c>
      <c r="BG48">
        <v>29.5</v>
      </c>
      <c r="BH48">
        <f>IF(OR($Q$17&gt;0,$Q$18&lt;0),NA(),2+$Q$20)</f>
        <v>2.41</v>
      </c>
    </row>
    <row r="49" spans="16:60" x14ac:dyDescent="0.35">
      <c r="P49">
        <v>26</v>
      </c>
      <c r="Q49">
        <f>P49-$Q$12</f>
        <v>23</v>
      </c>
      <c r="R49">
        <f>IF(Q49&lt;=0,-1,INT((Q49-1)/($Q$10+$Q$11)))</f>
        <v>1</v>
      </c>
      <c r="S49">
        <f>IF(Q49&lt;=0,-1,MOD(Q49-1,($Q$10+$Q$11)))</f>
        <v>9</v>
      </c>
      <c r="T49">
        <f>IF(OR(S49&lt;0,S49&gt;=$Q$10),-1,INT(S49/$Q$9))</f>
        <v>9</v>
      </c>
      <c r="U49">
        <f>IF(OR(S49&lt;0,S49&gt;=$Q$10),-1,MOD(S49,$Q$9))</f>
        <v>0</v>
      </c>
      <c r="V49">
        <f>IF(OR(Q49&lt;=0,S49&lt;0,S49&gt;=$Q$10,R49&gt;=$Q$7),1,0)</f>
        <v>0</v>
      </c>
      <c r="W49">
        <f>IF(V49=1,-1,T49)</f>
        <v>9</v>
      </c>
      <c r="X49">
        <f>IF(V49=1,-1,R49)</f>
        <v>1</v>
      </c>
      <c r="Y49" t="str">
        <f>IF(V49=1,"",IF(AND(MOD(W49,3)=0,U49=INT(($Q$9-1)/2)),INDEX($B$5:$M$5,W49+1),""))</f>
        <v>Oct</v>
      </c>
      <c r="Z49">
        <f>IF(V49=1,NA(),IF(INDEX($B$6:$M$17,($Q$3-1-0)*$Q$4+X49+1,0*$Q$5+W49+1)="",NA(),IF(INDEX($B$6:$M$17,($Q$3-1-0)*$Q$4+X49+1,0*$Q$5+W49+1)&gt;=0,0+(INDEX($B$6:$M$17,($Q$3-1-0)*$Q$4+X49+1,0*$Q$5+W49+1)-$Q$17)/$Q$19*$Q$13,NA())))</f>
        <v>0.46466666666666662</v>
      </c>
      <c r="AA49" t="e">
        <f>IF(V49=1,NA(),IF(INDEX($B$6:$M$17,($Q$3-1-0)*$Q$4+X49+1,0*$Q$5+W49+1)="",NA(),IF(INDEX($B$6:$M$17,($Q$3-1-0)*$Q$4+X49+1,0*$Q$5+W49+1)&lt;0,0+(INDEX($B$6:$M$17,($Q$3-1-0)*$Q$4+X49+1,0*$Q$5+W49+1)-$Q$17)/$Q$19*$Q$13,NA())))</f>
        <v>#N/A</v>
      </c>
      <c r="AB49" t="e">
        <f>IF(V49=1,NA(),IF(INDEX($B$6:$M$17,($Q$3-1-1)*$Q$4+X49+1,0*$Q$5+W49+1)="",NA(),IF(INDEX($B$6:$M$17,($Q$3-1-1)*$Q$4+X49+1,0*$Q$5+W49+1)&gt;=0,1+(INDEX($B$6:$M$17,($Q$3-1-1)*$Q$4+X49+1,0*$Q$5+W49+1)-$Q$17)/$Q$19*$Q$13,NA())))</f>
        <v>#N/A</v>
      </c>
      <c r="AC49">
        <f>IF(V49=1,NA(),IF(INDEX($B$6:$M$17,($Q$3-1-1)*$Q$4+X49+1,0*$Q$5+W49+1)="",NA(),IF(INDEX($B$6:$M$17,($Q$3-1-1)*$Q$4+X49+1,0*$Q$5+W49+1)&lt;0,1+(INDEX($B$6:$M$17,($Q$3-1-1)*$Q$4+X49+1,0*$Q$5+W49+1)-$Q$17)/$Q$19*$Q$13,NA())))</f>
        <v>1.2733333333333334</v>
      </c>
      <c r="AD49">
        <f>IF(V49=1,NA(),IF(INDEX($B$6:$M$17,($Q$3-1-2)*$Q$4+X49+1,0*$Q$5+W49+1)="",NA(),IF(INDEX($B$6:$M$17,($Q$3-1-2)*$Q$4+X49+1,0*$Q$5+W49+1)&gt;=0,2+(INDEX($B$6:$M$17,($Q$3-1-2)*$Q$4+X49+1,0*$Q$5+W49+1)-$Q$17)/$Q$19*$Q$13,NA())))</f>
        <v>2.5261666666666667</v>
      </c>
      <c r="AE49" t="e">
        <f>IF(V49=1,NA(),IF(INDEX($B$6:$M$17,($Q$3-1-2)*$Q$4+X49+1,0*$Q$5+W49+1)="",NA(),IF(INDEX($B$6:$M$17,($Q$3-1-2)*$Q$4+X49+1,0*$Q$5+W49+1)&lt;0,2+(INDEX($B$6:$M$17,($Q$3-1-2)*$Q$4+X49+1,0*$Q$5+W49+1)-$Q$17)/$Q$19*$Q$13,NA())))</f>
        <v>#N/A</v>
      </c>
      <c r="AF49">
        <f>IF(V49=1,NA(),IF(INDEX($B$6:$M$17,($Q$3-1-3)*$Q$4+X49+1,0*$Q$5+W49+1)="",NA(),IF(INDEX($B$6:$M$17,($Q$3-1-3)*$Q$4+X49+1,0*$Q$5+W49+1)&gt;=0,3+(INDEX($B$6:$M$17,($Q$3-1-3)*$Q$4+X49+1,0*$Q$5+W49+1)-$Q$17)/$Q$19*$Q$13,NA())))</f>
        <v>3.7789999999999999</v>
      </c>
      <c r="AG49" t="e">
        <f>IF(V49=1,NA(),IF(INDEX($B$6:$M$17,($Q$3-1-3)*$Q$4+X49+1,0*$Q$5+W49+1)="",NA(),IF(INDEX($B$6:$M$17,($Q$3-1-3)*$Q$4+X49+1,0*$Q$5+W49+1)&lt;0,3+(INDEX($B$6:$M$17,($Q$3-1-3)*$Q$4+X49+1,0*$Q$5+W49+1)-$Q$17)/$Q$19*$Q$13,NA())))</f>
        <v>#N/A</v>
      </c>
      <c r="AI49">
        <f>IF(V49=1,0,IF(INDEX($B$6:$M$17,($Q$3-1-0)*$Q$4+X49+1,0*$Q$5+W49+1)="",0,IF(INDEX($B$6:$M$17,($Q$3-1-0)*$Q$4+X49+1,0*$Q$5+W49+1)&gt;=0,ABS(INDEX($B$6:$M$17,($Q$3-1-0)*$Q$4+X49+1,0*$Q$5+W49+1))/$Q$19*$Q$13,0)))</f>
        <v>5.4666666666666662E-2</v>
      </c>
      <c r="AJ49">
        <f>IF(V49=1,0,IF(INDEX($B$6:$M$17,($Q$3-1-0)*$Q$4+X49+1,0*$Q$5+W49+1)="",0,IF(INDEX($B$6:$M$17,($Q$3-1-0)*$Q$4+X49+1,0*$Q$5+W49+1)&lt;0,ABS(INDEX($B$6:$M$17,($Q$3-1-0)*$Q$4+X49+1,0*$Q$5+W49+1))/$Q$19*$Q$13,0)))</f>
        <v>0</v>
      </c>
      <c r="AK49">
        <f>IF(V49=1,0,IF(INDEX($B$6:$M$17,($Q$3-1-1)*$Q$4+X49+1,0*$Q$5+W49+1)="",0,IF(INDEX($B$6:$M$17,($Q$3-1-1)*$Q$4+X49+1,0*$Q$5+W49+1)&gt;=0,ABS(INDEX($B$6:$M$17,($Q$3-1-1)*$Q$4+X49+1,0*$Q$5+W49+1))/$Q$19*$Q$13,0)))</f>
        <v>0</v>
      </c>
      <c r="AL49">
        <f>IF(V49=1,0,IF(INDEX($B$6:$M$17,($Q$3-1-1)*$Q$4+X49+1,0*$Q$5+W49+1)="",0,IF(INDEX($B$6:$M$17,($Q$3-1-1)*$Q$4+X49+1,0*$Q$5+W49+1)&lt;0,ABS(INDEX($B$6:$M$17,($Q$3-1-1)*$Q$4+X49+1,0*$Q$5+W49+1))/$Q$19*$Q$13,0)))</f>
        <v>0.13666666666666666</v>
      </c>
      <c r="AM49">
        <f>IF(V49=1,0,IF(INDEX($B$6:$M$17,($Q$3-1-2)*$Q$4+X49+1,0*$Q$5+W49+1)="",0,IF(INDEX($B$6:$M$17,($Q$3-1-2)*$Q$4+X49+1,0*$Q$5+W49+1)&gt;=0,ABS(INDEX($B$6:$M$17,($Q$3-1-2)*$Q$4+X49+1,0*$Q$5+W49+1))/$Q$19*$Q$13,0)))</f>
        <v>0.11616666666666665</v>
      </c>
      <c r="AN49">
        <f>IF(V49=1,0,IF(INDEX($B$6:$M$17,($Q$3-1-2)*$Q$4+X49+1,0*$Q$5+W49+1)="",0,IF(INDEX($B$6:$M$17,($Q$3-1-2)*$Q$4+X49+1,0*$Q$5+W49+1)&lt;0,ABS(INDEX($B$6:$M$17,($Q$3-1-2)*$Q$4+X49+1,0*$Q$5+W49+1))/$Q$19*$Q$13,0)))</f>
        <v>0</v>
      </c>
      <c r="AO49">
        <f>IF(V49=1,0,IF(INDEX($B$6:$M$17,($Q$3-1-3)*$Q$4+X49+1,0*$Q$5+W49+1)="",0,IF(INDEX($B$6:$M$17,($Q$3-1-3)*$Q$4+X49+1,0*$Q$5+W49+1)&gt;=0,ABS(INDEX($B$6:$M$17,($Q$3-1-3)*$Q$4+X49+1,0*$Q$5+W49+1))/$Q$19*$Q$13,0)))</f>
        <v>0.36899999999999999</v>
      </c>
      <c r="AP49">
        <f>IF(V49=1,0,IF(INDEX($B$6:$M$17,($Q$3-1-3)*$Q$4+X49+1,0*$Q$5+W49+1)="",0,IF(INDEX($B$6:$M$17,($Q$3-1-3)*$Q$4+X49+1,0*$Q$5+W49+1)&lt;0,ABS(INDEX($B$6:$M$17,($Q$3-1-3)*$Q$4+X49+1,0*$Q$5+W49+1))/$Q$19*$Q$13,0)))</f>
        <v>0</v>
      </c>
      <c r="AR49" t="str">
        <f>IF(V49=1,"",IF(INDEX($B$6:$M$17,($Q$3-1-0)*$Q$4+X49+1,0*$Q$5+W49+1)="","",IF(INDEX($B$6:$M$17,($Q$3-1-0)*$Q$4+X49+1,0*$Q$5+W49+1)&gt;=0,TEXT(INDEX($B$6:$M$17,($Q$3-1-0)*$Q$4+X49+1,0*$Q$5+W49+1),"+0;-0;0"),"")))</f>
        <v>+4</v>
      </c>
      <c r="AS49" t="str">
        <f>IF(V49=1,"",IF(INDEX($B$6:$M$17,($Q$3-1-0)*$Q$4+X49+1,0*$Q$5+W49+1)="","",IF(INDEX($B$6:$M$17,($Q$3-1-0)*$Q$4+X49+1,0*$Q$5+W49+1)&lt;0,TEXT(INDEX($B$6:$M$17,($Q$3-1-0)*$Q$4+X49+1,0*$Q$5+W49+1),"+0;-0;0"),"")))</f>
        <v/>
      </c>
      <c r="AT49" t="str">
        <f>IF(V49=1,"",IF(INDEX($B$6:$M$17,($Q$3-1-1)*$Q$4+X49+1,0*$Q$5+W49+1)="","",IF(INDEX($B$6:$M$17,($Q$3-1-1)*$Q$4+X49+1,0*$Q$5+W49+1)&gt;=0,TEXT(INDEX($B$6:$M$17,($Q$3-1-1)*$Q$4+X49+1,0*$Q$5+W49+1),"+0;-0;0"),"")))</f>
        <v/>
      </c>
      <c r="AU49" t="str">
        <f>IF(V49=1,"",IF(INDEX($B$6:$M$17,($Q$3-1-1)*$Q$4+X49+1,0*$Q$5+W49+1)="","",IF(INDEX($B$6:$M$17,($Q$3-1-1)*$Q$4+X49+1,0*$Q$5+W49+1)&lt;0,TEXT(INDEX($B$6:$M$17,($Q$3-1-1)*$Q$4+X49+1,0*$Q$5+W49+1),"+0;-0;0"),"")))</f>
        <v>-10</v>
      </c>
      <c r="AV49" t="str">
        <f>IF(V49=1,"",IF(INDEX($B$6:$M$17,($Q$3-1-2)*$Q$4+X49+1,0*$Q$5+W49+1)="","",IF(INDEX($B$6:$M$17,($Q$3-1-2)*$Q$4+X49+1,0*$Q$5+W49+1)&gt;=0,TEXT(INDEX($B$6:$M$17,($Q$3-1-2)*$Q$4+X49+1,0*$Q$5+W49+1),"+0;-0;0"),"")))</f>
        <v>+9</v>
      </c>
      <c r="AW49" t="str">
        <f>IF(V49=1,"",IF(INDEX($B$6:$M$17,($Q$3-1-2)*$Q$4+X49+1,0*$Q$5+W49+1)="","",IF(INDEX($B$6:$M$17,($Q$3-1-2)*$Q$4+X49+1,0*$Q$5+W49+1)&lt;0,TEXT(INDEX($B$6:$M$17,($Q$3-1-2)*$Q$4+X49+1,0*$Q$5+W49+1),"+0;-0;0"),"")))</f>
        <v/>
      </c>
      <c r="AX49" t="str">
        <f>IF(V49=1,"",IF(INDEX($B$6:$M$17,($Q$3-1-3)*$Q$4+X49+1,0*$Q$5+W49+1)="","",IF(INDEX($B$6:$M$17,($Q$3-1-3)*$Q$4+X49+1,0*$Q$5+W49+1)&gt;=0,TEXT(INDEX($B$6:$M$17,($Q$3-1-3)*$Q$4+X49+1,0*$Q$5+W49+1),"+0;-0;0"),"")))</f>
        <v>+27</v>
      </c>
      <c r="AY49" t="str">
        <f>IF(V49=1,"",IF(INDEX($B$6:$M$17,($Q$3-1-3)*$Q$4+X49+1,0*$Q$5+W49+1)="","",IF(INDEX($B$6:$M$17,($Q$3-1-3)*$Q$4+X49+1,0*$Q$5+W49+1)&lt;0,TEXT(INDEX($B$6:$M$17,($Q$3-1-3)*$Q$4+X49+1,0*$Q$5+W49+1),"+0;-0;0"),"")))</f>
        <v/>
      </c>
      <c r="BG49">
        <v>41.5</v>
      </c>
      <c r="BH49">
        <f>IF(OR($Q$17&gt;0,$Q$18&lt;0),NA(),2+$Q$20)</f>
        <v>2.41</v>
      </c>
    </row>
    <row r="50" spans="16:60" x14ac:dyDescent="0.35">
      <c r="P50">
        <v>27</v>
      </c>
      <c r="Q50">
        <f>P50-$Q$12</f>
        <v>24</v>
      </c>
      <c r="R50">
        <f>IF(Q50&lt;=0,-1,INT((Q50-1)/($Q$10+$Q$11)))</f>
        <v>1</v>
      </c>
      <c r="S50">
        <f>IF(Q50&lt;=0,-1,MOD(Q50-1,($Q$10+$Q$11)))</f>
        <v>10</v>
      </c>
      <c r="T50">
        <f>IF(OR(S50&lt;0,S50&gt;=$Q$10),-1,INT(S50/$Q$9))</f>
        <v>10</v>
      </c>
      <c r="U50">
        <f>IF(OR(S50&lt;0,S50&gt;=$Q$10),-1,MOD(S50,$Q$9))</f>
        <v>0</v>
      </c>
      <c r="V50">
        <f>IF(OR(Q50&lt;=0,S50&lt;0,S50&gt;=$Q$10,R50&gt;=$Q$7),1,0)</f>
        <v>0</v>
      </c>
      <c r="W50">
        <f>IF(V50=1,-1,T50)</f>
        <v>10</v>
      </c>
      <c r="X50">
        <f>IF(V50=1,-1,R50)</f>
        <v>1</v>
      </c>
      <c r="Y50" t="str">
        <f>IF(V50=1,"",IF(AND(MOD(W50,3)=0,U50=INT(($Q$9-1)/2)),INDEX($B$5:$M$5,W50+1),""))</f>
        <v/>
      </c>
      <c r="Z50">
        <f>IF(V50=1,NA(),IF(INDEX($B$6:$M$17,($Q$3-1-0)*$Q$4+X50+1,0*$Q$5+W50+1)="",NA(),IF(INDEX($B$6:$M$17,($Q$3-1-0)*$Q$4+X50+1,0*$Q$5+W50+1)&gt;=0,0+(INDEX($B$6:$M$17,($Q$3-1-0)*$Q$4+X50+1,0*$Q$5+W50+1)-$Q$17)/$Q$19*$Q$13,NA())))</f>
        <v>0.66966666666666663</v>
      </c>
      <c r="AA50" t="e">
        <f>IF(V50=1,NA(),IF(INDEX($B$6:$M$17,($Q$3-1-0)*$Q$4+X50+1,0*$Q$5+W50+1)="",NA(),IF(INDEX($B$6:$M$17,($Q$3-1-0)*$Q$4+X50+1,0*$Q$5+W50+1)&lt;0,0+(INDEX($B$6:$M$17,($Q$3-1-0)*$Q$4+X50+1,0*$Q$5+W50+1)-$Q$17)/$Q$19*$Q$13,NA())))</f>
        <v>#N/A</v>
      </c>
      <c r="AB50">
        <f>IF(V50=1,NA(),IF(INDEX($B$6:$M$17,($Q$3-1-1)*$Q$4+X50+1,0*$Q$5+W50+1)="",NA(),IF(INDEX($B$6:$M$17,($Q$3-1-1)*$Q$4+X50+1,0*$Q$5+W50+1)&gt;=0,1+(INDEX($B$6:$M$17,($Q$3-1-1)*$Q$4+X50+1,0*$Q$5+W50+1)-$Q$17)/$Q$19*$Q$13,NA())))</f>
        <v>1.4783333333333333</v>
      </c>
      <c r="AC50" t="e">
        <f>IF(V50=1,NA(),IF(INDEX($B$6:$M$17,($Q$3-1-1)*$Q$4+X50+1,0*$Q$5+W50+1)="",NA(),IF(INDEX($B$6:$M$17,($Q$3-1-1)*$Q$4+X50+1,0*$Q$5+W50+1)&lt;0,1+(INDEX($B$6:$M$17,($Q$3-1-1)*$Q$4+X50+1,0*$Q$5+W50+1)-$Q$17)/$Q$19*$Q$13,NA())))</f>
        <v>#N/A</v>
      </c>
      <c r="AD50" t="e">
        <f>IF(V50=1,NA(),IF(INDEX($B$6:$M$17,($Q$3-1-2)*$Q$4+X50+1,0*$Q$5+W50+1)="",NA(),IF(INDEX($B$6:$M$17,($Q$3-1-2)*$Q$4+X50+1,0*$Q$5+W50+1)&gt;=0,2+(INDEX($B$6:$M$17,($Q$3-1-2)*$Q$4+X50+1,0*$Q$5+W50+1)-$Q$17)/$Q$19*$Q$13,NA())))</f>
        <v>#N/A</v>
      </c>
      <c r="AE50">
        <f>IF(V50=1,NA(),IF(INDEX($B$6:$M$17,($Q$3-1-2)*$Q$4+X50+1,0*$Q$5+W50+1)="",NA(),IF(INDEX($B$6:$M$17,($Q$3-1-2)*$Q$4+X50+1,0*$Q$5+W50+1)&lt;0,2+(INDEX($B$6:$M$17,($Q$3-1-2)*$Q$4+X50+1,0*$Q$5+W50+1)-$Q$17)/$Q$19*$Q$13,NA())))</f>
        <v>2.2801666666666667</v>
      </c>
      <c r="AF50">
        <f>IF(V50=1,NA(),IF(INDEX($B$6:$M$17,($Q$3-1-3)*$Q$4+X50+1,0*$Q$5+W50+1)="",NA(),IF(INDEX($B$6:$M$17,($Q$3-1-3)*$Q$4+X50+1,0*$Q$5+W50+1)&gt;=0,3+(INDEX($B$6:$M$17,($Q$3-1-3)*$Q$4+X50+1,0*$Q$5+W50+1)-$Q$17)/$Q$19*$Q$13,NA())))</f>
        <v>3.5329999999999999</v>
      </c>
      <c r="AG50" t="e">
        <f>IF(V50=1,NA(),IF(INDEX($B$6:$M$17,($Q$3-1-3)*$Q$4+X50+1,0*$Q$5+W50+1)="",NA(),IF(INDEX($B$6:$M$17,($Q$3-1-3)*$Q$4+X50+1,0*$Q$5+W50+1)&lt;0,3+(INDEX($B$6:$M$17,($Q$3-1-3)*$Q$4+X50+1,0*$Q$5+W50+1)-$Q$17)/$Q$19*$Q$13,NA())))</f>
        <v>#N/A</v>
      </c>
      <c r="AI50">
        <f>IF(V50=1,0,IF(INDEX($B$6:$M$17,($Q$3-1-0)*$Q$4+X50+1,0*$Q$5+W50+1)="",0,IF(INDEX($B$6:$M$17,($Q$3-1-0)*$Q$4+X50+1,0*$Q$5+W50+1)&gt;=0,ABS(INDEX($B$6:$M$17,($Q$3-1-0)*$Q$4+X50+1,0*$Q$5+W50+1))/$Q$19*$Q$13,0)))</f>
        <v>0.25966666666666666</v>
      </c>
      <c r="AJ50">
        <f>IF(V50=1,0,IF(INDEX($B$6:$M$17,($Q$3-1-0)*$Q$4+X50+1,0*$Q$5+W50+1)="",0,IF(INDEX($B$6:$M$17,($Q$3-1-0)*$Q$4+X50+1,0*$Q$5+W50+1)&lt;0,ABS(INDEX($B$6:$M$17,($Q$3-1-0)*$Q$4+X50+1,0*$Q$5+W50+1))/$Q$19*$Q$13,0)))</f>
        <v>0</v>
      </c>
      <c r="AK50">
        <f>IF(V50=1,0,IF(INDEX($B$6:$M$17,($Q$3-1-1)*$Q$4+X50+1,0*$Q$5+W50+1)="",0,IF(INDEX($B$6:$M$17,($Q$3-1-1)*$Q$4+X50+1,0*$Q$5+W50+1)&gt;=0,ABS(INDEX($B$6:$M$17,($Q$3-1-1)*$Q$4+X50+1,0*$Q$5+W50+1))/$Q$19*$Q$13,0)))</f>
        <v>6.8333333333333329E-2</v>
      </c>
      <c r="AL50">
        <f>IF(V50=1,0,IF(INDEX($B$6:$M$17,($Q$3-1-1)*$Q$4+X50+1,0*$Q$5+W50+1)="",0,IF(INDEX($B$6:$M$17,($Q$3-1-1)*$Q$4+X50+1,0*$Q$5+W50+1)&lt;0,ABS(INDEX($B$6:$M$17,($Q$3-1-1)*$Q$4+X50+1,0*$Q$5+W50+1))/$Q$19*$Q$13,0)))</f>
        <v>0</v>
      </c>
      <c r="AM50">
        <f>IF(V50=1,0,IF(INDEX($B$6:$M$17,($Q$3-1-2)*$Q$4+X50+1,0*$Q$5+W50+1)="",0,IF(INDEX($B$6:$M$17,($Q$3-1-2)*$Q$4+X50+1,0*$Q$5+W50+1)&gt;=0,ABS(INDEX($B$6:$M$17,($Q$3-1-2)*$Q$4+X50+1,0*$Q$5+W50+1))/$Q$19*$Q$13,0)))</f>
        <v>0</v>
      </c>
      <c r="AN50">
        <f>IF(V50=1,0,IF(INDEX($B$6:$M$17,($Q$3-1-2)*$Q$4+X50+1,0*$Q$5+W50+1)="",0,IF(INDEX($B$6:$M$17,($Q$3-1-2)*$Q$4+X50+1,0*$Q$5+W50+1)&lt;0,ABS(INDEX($B$6:$M$17,($Q$3-1-2)*$Q$4+X50+1,0*$Q$5+W50+1))/$Q$19*$Q$13,0)))</f>
        <v>0.12983333333333333</v>
      </c>
      <c r="AO50">
        <f>IF(V50=1,0,IF(INDEX($B$6:$M$17,($Q$3-1-3)*$Q$4+X50+1,0*$Q$5+W50+1)="",0,IF(INDEX($B$6:$M$17,($Q$3-1-3)*$Q$4+X50+1,0*$Q$5+W50+1)&gt;=0,ABS(INDEX($B$6:$M$17,($Q$3-1-3)*$Q$4+X50+1,0*$Q$5+W50+1))/$Q$19*$Q$13,0)))</f>
        <v>0.12299999999999998</v>
      </c>
      <c r="AP50">
        <f>IF(V50=1,0,IF(INDEX($B$6:$M$17,($Q$3-1-3)*$Q$4+X50+1,0*$Q$5+W50+1)="",0,IF(INDEX($B$6:$M$17,($Q$3-1-3)*$Q$4+X50+1,0*$Q$5+W50+1)&lt;0,ABS(INDEX($B$6:$M$17,($Q$3-1-3)*$Q$4+X50+1,0*$Q$5+W50+1))/$Q$19*$Q$13,0)))</f>
        <v>0</v>
      </c>
      <c r="AR50" t="str">
        <f>IF(V50=1,"",IF(INDEX($B$6:$M$17,($Q$3-1-0)*$Q$4+X50+1,0*$Q$5+W50+1)="","",IF(INDEX($B$6:$M$17,($Q$3-1-0)*$Q$4+X50+1,0*$Q$5+W50+1)&gt;=0,TEXT(INDEX($B$6:$M$17,($Q$3-1-0)*$Q$4+X50+1,0*$Q$5+W50+1),"+0;-0;0"),"")))</f>
        <v>+19</v>
      </c>
      <c r="AS50" t="str">
        <f>IF(V50=1,"",IF(INDEX($B$6:$M$17,($Q$3-1-0)*$Q$4+X50+1,0*$Q$5+W50+1)="","",IF(INDEX($B$6:$M$17,($Q$3-1-0)*$Q$4+X50+1,0*$Q$5+W50+1)&lt;0,TEXT(INDEX($B$6:$M$17,($Q$3-1-0)*$Q$4+X50+1,0*$Q$5+W50+1),"+0;-0;0"),"")))</f>
        <v/>
      </c>
      <c r="AT50" t="str">
        <f>IF(V50=1,"",IF(INDEX($B$6:$M$17,($Q$3-1-1)*$Q$4+X50+1,0*$Q$5+W50+1)="","",IF(INDEX($B$6:$M$17,($Q$3-1-1)*$Q$4+X50+1,0*$Q$5+W50+1)&gt;=0,TEXT(INDEX($B$6:$M$17,($Q$3-1-1)*$Q$4+X50+1,0*$Q$5+W50+1),"+0;-0;0"),"")))</f>
        <v>+5</v>
      </c>
      <c r="AU50" t="str">
        <f>IF(V50=1,"",IF(INDEX($B$6:$M$17,($Q$3-1-1)*$Q$4+X50+1,0*$Q$5+W50+1)="","",IF(INDEX($B$6:$M$17,($Q$3-1-1)*$Q$4+X50+1,0*$Q$5+W50+1)&lt;0,TEXT(INDEX($B$6:$M$17,($Q$3-1-1)*$Q$4+X50+1,0*$Q$5+W50+1),"+0;-0;0"),"")))</f>
        <v/>
      </c>
      <c r="AV50" t="str">
        <f>IF(V50=1,"",IF(INDEX($B$6:$M$17,($Q$3-1-2)*$Q$4+X50+1,0*$Q$5+W50+1)="","",IF(INDEX($B$6:$M$17,($Q$3-1-2)*$Q$4+X50+1,0*$Q$5+W50+1)&gt;=0,TEXT(INDEX($B$6:$M$17,($Q$3-1-2)*$Q$4+X50+1,0*$Q$5+W50+1),"+0;-0;0"),"")))</f>
        <v/>
      </c>
      <c r="AW50" t="str">
        <f>IF(V50=1,"",IF(INDEX($B$6:$M$17,($Q$3-1-2)*$Q$4+X50+1,0*$Q$5+W50+1)="","",IF(INDEX($B$6:$M$17,($Q$3-1-2)*$Q$4+X50+1,0*$Q$5+W50+1)&lt;0,TEXT(INDEX($B$6:$M$17,($Q$3-1-2)*$Q$4+X50+1,0*$Q$5+W50+1),"+0;-0;0"),"")))</f>
        <v>-10</v>
      </c>
      <c r="AX50" t="str">
        <f>IF(V50=1,"",IF(INDEX($B$6:$M$17,($Q$3-1-3)*$Q$4+X50+1,0*$Q$5+W50+1)="","",IF(INDEX($B$6:$M$17,($Q$3-1-3)*$Q$4+X50+1,0*$Q$5+W50+1)&gt;=0,TEXT(INDEX($B$6:$M$17,($Q$3-1-3)*$Q$4+X50+1,0*$Q$5+W50+1),"+0;-0;0"),"")))</f>
        <v>+9</v>
      </c>
      <c r="AY50" t="str">
        <f>IF(V50=1,"",IF(INDEX($B$6:$M$17,($Q$3-1-3)*$Q$4+X50+1,0*$Q$5+W50+1)="","",IF(INDEX($B$6:$M$17,($Q$3-1-3)*$Q$4+X50+1,0*$Q$5+W50+1)&lt;0,TEXT(INDEX($B$6:$M$17,($Q$3-1-3)*$Q$4+X50+1,0*$Q$5+W50+1),"+0;-0;0"),"")))</f>
        <v/>
      </c>
      <c r="BG50">
        <v>41.5</v>
      </c>
      <c r="BH50" t="e">
        <f>NA()</f>
        <v>#N/A</v>
      </c>
    </row>
    <row r="51" spans="16:60" x14ac:dyDescent="0.35">
      <c r="P51">
        <v>28</v>
      </c>
      <c r="Q51">
        <f>P51-$Q$12</f>
        <v>25</v>
      </c>
      <c r="R51">
        <f>IF(Q51&lt;=0,-1,INT((Q51-1)/($Q$10+$Q$11)))</f>
        <v>1</v>
      </c>
      <c r="S51">
        <f>IF(Q51&lt;=0,-1,MOD(Q51-1,($Q$10+$Q$11)))</f>
        <v>11</v>
      </c>
      <c r="T51">
        <f>IF(OR(S51&lt;0,S51&gt;=$Q$10),-1,INT(S51/$Q$9))</f>
        <v>11</v>
      </c>
      <c r="U51">
        <f>IF(OR(S51&lt;0,S51&gt;=$Q$10),-1,MOD(S51,$Q$9))</f>
        <v>0</v>
      </c>
      <c r="V51">
        <f>IF(OR(Q51&lt;=0,S51&lt;0,S51&gt;=$Q$10,R51&gt;=$Q$7),1,0)</f>
        <v>0</v>
      </c>
      <c r="W51">
        <f>IF(V51=1,-1,T51)</f>
        <v>11</v>
      </c>
      <c r="X51">
        <f>IF(V51=1,-1,R51)</f>
        <v>1</v>
      </c>
      <c r="Y51" t="str">
        <f>IF(V51=1,"",IF(AND(MOD(W51,3)=0,U51=INT(($Q$9-1)/2)),INDEX($B$5:$M$5,W51+1),""))</f>
        <v/>
      </c>
      <c r="Z51">
        <f>IF(V51=1,NA(),IF(INDEX($B$6:$M$17,($Q$3-1-0)*$Q$4+X51+1,0*$Q$5+W51+1)="",NA(),IF(INDEX($B$6:$M$17,($Q$3-1-0)*$Q$4+X51+1,0*$Q$5+W51+1)&gt;=0,0+(INDEX($B$6:$M$17,($Q$3-1-0)*$Q$4+X51+1,0*$Q$5+W51+1)-$Q$17)/$Q$19*$Q$13,NA())))</f>
        <v>0.42366666666666669</v>
      </c>
      <c r="AA51" t="e">
        <f>IF(V51=1,NA(),IF(INDEX($B$6:$M$17,($Q$3-1-0)*$Q$4+X51+1,0*$Q$5+W51+1)="",NA(),IF(INDEX($B$6:$M$17,($Q$3-1-0)*$Q$4+X51+1,0*$Q$5+W51+1)&lt;0,0+(INDEX($B$6:$M$17,($Q$3-1-0)*$Q$4+X51+1,0*$Q$5+W51+1)-$Q$17)/$Q$19*$Q$13,NA())))</f>
        <v>#N/A</v>
      </c>
      <c r="AB51" t="e">
        <f>IF(V51=1,NA(),IF(INDEX($B$6:$M$17,($Q$3-1-1)*$Q$4+X51+1,0*$Q$5+W51+1)="",NA(),IF(INDEX($B$6:$M$17,($Q$3-1-1)*$Q$4+X51+1,0*$Q$5+W51+1)&gt;=0,1+(INDEX($B$6:$M$17,($Q$3-1-1)*$Q$4+X51+1,0*$Q$5+W51+1)-$Q$17)/$Q$19*$Q$13,NA())))</f>
        <v>#N/A</v>
      </c>
      <c r="AC51">
        <f>IF(V51=1,NA(),IF(INDEX($B$6:$M$17,($Q$3-1-1)*$Q$4+X51+1,0*$Q$5+W51+1)="",NA(),IF(INDEX($B$6:$M$17,($Q$3-1-1)*$Q$4+X51+1,0*$Q$5+W51+1)&lt;0,1+(INDEX($B$6:$M$17,($Q$3-1-1)*$Q$4+X51+1,0*$Q$5+W51+1)-$Q$17)/$Q$19*$Q$13,NA())))</f>
        <v>1.2323333333333333</v>
      </c>
      <c r="AD51">
        <f>IF(V51=1,NA(),IF(INDEX($B$6:$M$17,($Q$3-1-2)*$Q$4+X51+1,0*$Q$5+W51+1)="",NA(),IF(INDEX($B$6:$M$17,($Q$3-1-2)*$Q$4+X51+1,0*$Q$5+W51+1)&gt;=0,2+(INDEX($B$6:$M$17,($Q$3-1-2)*$Q$4+X51+1,0*$Q$5+W51+1)-$Q$17)/$Q$19*$Q$13,NA())))</f>
        <v>2.4851666666666667</v>
      </c>
      <c r="AE51" t="e">
        <f>IF(V51=1,NA(),IF(INDEX($B$6:$M$17,($Q$3-1-2)*$Q$4+X51+1,0*$Q$5+W51+1)="",NA(),IF(INDEX($B$6:$M$17,($Q$3-1-2)*$Q$4+X51+1,0*$Q$5+W51+1)&lt;0,2+(INDEX($B$6:$M$17,($Q$3-1-2)*$Q$4+X51+1,0*$Q$5+W51+1)-$Q$17)/$Q$19*$Q$13,NA())))</f>
        <v>#N/A</v>
      </c>
      <c r="AF51">
        <f>IF(V51=1,NA(),IF(INDEX($B$6:$M$17,($Q$3-1-3)*$Q$4+X51+1,0*$Q$5+W51+1)="",NA(),IF(INDEX($B$6:$M$17,($Q$3-1-3)*$Q$4+X51+1,0*$Q$5+W51+1)&gt;=0,3+(INDEX($B$6:$M$17,($Q$3-1-3)*$Q$4+X51+1,0*$Q$5+W51+1)-$Q$17)/$Q$19*$Q$13,NA())))</f>
        <v>3.738</v>
      </c>
      <c r="AG51" t="e">
        <f>IF(V51=1,NA(),IF(INDEX($B$6:$M$17,($Q$3-1-3)*$Q$4+X51+1,0*$Q$5+W51+1)="",NA(),IF(INDEX($B$6:$M$17,($Q$3-1-3)*$Q$4+X51+1,0*$Q$5+W51+1)&lt;0,3+(INDEX($B$6:$M$17,($Q$3-1-3)*$Q$4+X51+1,0*$Q$5+W51+1)-$Q$17)/$Q$19*$Q$13,NA())))</f>
        <v>#N/A</v>
      </c>
      <c r="AI51">
        <f>IF(V51=1,0,IF(INDEX($B$6:$M$17,($Q$3-1-0)*$Q$4+X51+1,0*$Q$5+W51+1)="",0,IF(INDEX($B$6:$M$17,($Q$3-1-0)*$Q$4+X51+1,0*$Q$5+W51+1)&gt;=0,ABS(INDEX($B$6:$M$17,($Q$3-1-0)*$Q$4+X51+1,0*$Q$5+W51+1))/$Q$19*$Q$13,0)))</f>
        <v>1.3666666666666666E-2</v>
      </c>
      <c r="AJ51">
        <f>IF(V51=1,0,IF(INDEX($B$6:$M$17,($Q$3-1-0)*$Q$4+X51+1,0*$Q$5+W51+1)="",0,IF(INDEX($B$6:$M$17,($Q$3-1-0)*$Q$4+X51+1,0*$Q$5+W51+1)&lt;0,ABS(INDEX($B$6:$M$17,($Q$3-1-0)*$Q$4+X51+1,0*$Q$5+W51+1))/$Q$19*$Q$13,0)))</f>
        <v>0</v>
      </c>
      <c r="AK51">
        <f>IF(V51=1,0,IF(INDEX($B$6:$M$17,($Q$3-1-1)*$Q$4+X51+1,0*$Q$5+W51+1)="",0,IF(INDEX($B$6:$M$17,($Q$3-1-1)*$Q$4+X51+1,0*$Q$5+W51+1)&gt;=0,ABS(INDEX($B$6:$M$17,($Q$3-1-1)*$Q$4+X51+1,0*$Q$5+W51+1))/$Q$19*$Q$13,0)))</f>
        <v>0</v>
      </c>
      <c r="AL51">
        <f>IF(V51=1,0,IF(INDEX($B$6:$M$17,($Q$3-1-1)*$Q$4+X51+1,0*$Q$5+W51+1)="",0,IF(INDEX($B$6:$M$17,($Q$3-1-1)*$Q$4+X51+1,0*$Q$5+W51+1)&lt;0,ABS(INDEX($B$6:$M$17,($Q$3-1-1)*$Q$4+X51+1,0*$Q$5+W51+1))/$Q$19*$Q$13,0)))</f>
        <v>0.17766666666666667</v>
      </c>
      <c r="AM51">
        <f>IF(V51=1,0,IF(INDEX($B$6:$M$17,($Q$3-1-2)*$Q$4+X51+1,0*$Q$5+W51+1)="",0,IF(INDEX($B$6:$M$17,($Q$3-1-2)*$Q$4+X51+1,0*$Q$5+W51+1)&gt;=0,ABS(INDEX($B$6:$M$17,($Q$3-1-2)*$Q$4+X51+1,0*$Q$5+W51+1))/$Q$19*$Q$13,0)))</f>
        <v>7.5166666666666659E-2</v>
      </c>
      <c r="AN51">
        <f>IF(V51=1,0,IF(INDEX($B$6:$M$17,($Q$3-1-2)*$Q$4+X51+1,0*$Q$5+W51+1)="",0,IF(INDEX($B$6:$M$17,($Q$3-1-2)*$Q$4+X51+1,0*$Q$5+W51+1)&lt;0,ABS(INDEX($B$6:$M$17,($Q$3-1-2)*$Q$4+X51+1,0*$Q$5+W51+1))/$Q$19*$Q$13,0)))</f>
        <v>0</v>
      </c>
      <c r="AO51">
        <f>IF(V51=1,0,IF(INDEX($B$6:$M$17,($Q$3-1-3)*$Q$4+X51+1,0*$Q$5+W51+1)="",0,IF(INDEX($B$6:$M$17,($Q$3-1-3)*$Q$4+X51+1,0*$Q$5+W51+1)&gt;=0,ABS(INDEX($B$6:$M$17,($Q$3-1-3)*$Q$4+X51+1,0*$Q$5+W51+1))/$Q$19*$Q$13,0)))</f>
        <v>0.32800000000000001</v>
      </c>
      <c r="AP51">
        <f>IF(V51=1,0,IF(INDEX($B$6:$M$17,($Q$3-1-3)*$Q$4+X51+1,0*$Q$5+W51+1)="",0,IF(INDEX($B$6:$M$17,($Q$3-1-3)*$Q$4+X51+1,0*$Q$5+W51+1)&lt;0,ABS(INDEX($B$6:$M$17,($Q$3-1-3)*$Q$4+X51+1,0*$Q$5+W51+1))/$Q$19*$Q$13,0)))</f>
        <v>0</v>
      </c>
      <c r="AR51" t="str">
        <f>IF(V51=1,"",IF(INDEX($B$6:$M$17,($Q$3-1-0)*$Q$4+X51+1,0*$Q$5+W51+1)="","",IF(INDEX($B$6:$M$17,($Q$3-1-0)*$Q$4+X51+1,0*$Q$5+W51+1)&gt;=0,TEXT(INDEX($B$6:$M$17,($Q$3-1-0)*$Q$4+X51+1,0*$Q$5+W51+1),"+0;-0;0"),"")))</f>
        <v>+1</v>
      </c>
      <c r="AS51" t="str">
        <f>IF(V51=1,"",IF(INDEX($B$6:$M$17,($Q$3-1-0)*$Q$4+X51+1,0*$Q$5+W51+1)="","",IF(INDEX($B$6:$M$17,($Q$3-1-0)*$Q$4+X51+1,0*$Q$5+W51+1)&lt;0,TEXT(INDEX($B$6:$M$17,($Q$3-1-0)*$Q$4+X51+1,0*$Q$5+W51+1),"+0;-0;0"),"")))</f>
        <v/>
      </c>
      <c r="AT51" t="str">
        <f>IF(V51=1,"",IF(INDEX($B$6:$M$17,($Q$3-1-1)*$Q$4+X51+1,0*$Q$5+W51+1)="","",IF(INDEX($B$6:$M$17,($Q$3-1-1)*$Q$4+X51+1,0*$Q$5+W51+1)&gt;=0,TEXT(INDEX($B$6:$M$17,($Q$3-1-1)*$Q$4+X51+1,0*$Q$5+W51+1),"+0;-0;0"),"")))</f>
        <v/>
      </c>
      <c r="AU51" t="str">
        <f>IF(V51=1,"",IF(INDEX($B$6:$M$17,($Q$3-1-1)*$Q$4+X51+1,0*$Q$5+W51+1)="","",IF(INDEX($B$6:$M$17,($Q$3-1-1)*$Q$4+X51+1,0*$Q$5+W51+1)&lt;0,TEXT(INDEX($B$6:$M$17,($Q$3-1-1)*$Q$4+X51+1,0*$Q$5+W51+1),"+0;-0;0"),"")))</f>
        <v>-13</v>
      </c>
      <c r="AV51" t="str">
        <f>IF(V51=1,"",IF(INDEX($B$6:$M$17,($Q$3-1-2)*$Q$4+X51+1,0*$Q$5+W51+1)="","",IF(INDEX($B$6:$M$17,($Q$3-1-2)*$Q$4+X51+1,0*$Q$5+W51+1)&gt;=0,TEXT(INDEX($B$6:$M$17,($Q$3-1-2)*$Q$4+X51+1,0*$Q$5+W51+1),"+0;-0;0"),"")))</f>
        <v>+6</v>
      </c>
      <c r="AW51" t="str">
        <f>IF(V51=1,"",IF(INDEX($B$6:$M$17,($Q$3-1-2)*$Q$4+X51+1,0*$Q$5+W51+1)="","",IF(INDEX($B$6:$M$17,($Q$3-1-2)*$Q$4+X51+1,0*$Q$5+W51+1)&lt;0,TEXT(INDEX($B$6:$M$17,($Q$3-1-2)*$Q$4+X51+1,0*$Q$5+W51+1),"+0;-0;0"),"")))</f>
        <v/>
      </c>
      <c r="AX51" t="str">
        <f>IF(V51=1,"",IF(INDEX($B$6:$M$17,($Q$3-1-3)*$Q$4+X51+1,0*$Q$5+W51+1)="","",IF(INDEX($B$6:$M$17,($Q$3-1-3)*$Q$4+X51+1,0*$Q$5+W51+1)&gt;=0,TEXT(INDEX($B$6:$M$17,($Q$3-1-3)*$Q$4+X51+1,0*$Q$5+W51+1),"+0;-0;0"),"")))</f>
        <v>+24</v>
      </c>
      <c r="AY51" t="str">
        <f>IF(V51=1,"",IF(INDEX($B$6:$M$17,($Q$3-1-3)*$Q$4+X51+1,0*$Q$5+W51+1)="","",IF(INDEX($B$6:$M$17,($Q$3-1-3)*$Q$4+X51+1,0*$Q$5+W51+1)&lt;0,TEXT(INDEX($B$6:$M$17,($Q$3-1-3)*$Q$4+X51+1,0*$Q$5+W51+1),"+0;-0;0"),"")))</f>
        <v/>
      </c>
      <c r="BG51">
        <v>3.5</v>
      </c>
      <c r="BH51">
        <f>IF(OR($Q$17&gt;0,$Q$18&lt;0),NA(),3+$Q$20)</f>
        <v>3.41</v>
      </c>
    </row>
    <row r="52" spans="16:60" x14ac:dyDescent="0.35">
      <c r="P52">
        <v>29</v>
      </c>
      <c r="Q52">
        <f>P52-$Q$12</f>
        <v>26</v>
      </c>
      <c r="R52">
        <f>IF(Q52&lt;=0,-1,INT((Q52-1)/($Q$10+$Q$11)))</f>
        <v>1</v>
      </c>
      <c r="S52">
        <f>IF(Q52&lt;=0,-1,MOD(Q52-1,($Q$10+$Q$11)))</f>
        <v>12</v>
      </c>
      <c r="T52">
        <f>IF(OR(S52&lt;0,S52&gt;=$Q$10),-1,INT(S52/$Q$9))</f>
        <v>-1</v>
      </c>
      <c r="U52">
        <f>IF(OR(S52&lt;0,S52&gt;=$Q$10),-1,MOD(S52,$Q$9))</f>
        <v>-1</v>
      </c>
      <c r="V52">
        <f>IF(OR(Q52&lt;=0,S52&lt;0,S52&gt;=$Q$10,R52&gt;=$Q$7),1,0)</f>
        <v>1</v>
      </c>
      <c r="W52">
        <f>IF(V52=1,-1,T52)</f>
        <v>-1</v>
      </c>
      <c r="X52">
        <f>IF(V52=1,-1,R52)</f>
        <v>-1</v>
      </c>
      <c r="Y52" t="str">
        <f>IF(V52=1,"",IF(AND(MOD(W52,3)=0,U52=INT(($Q$9-1)/2)),INDEX($B$5:$M$5,W52+1),""))</f>
        <v/>
      </c>
      <c r="Z52" t="e">
        <f>IF(V52=1,NA(),IF(INDEX($B$6:$M$17,($Q$3-1-0)*$Q$4+X52+1,0*$Q$5+W52+1)="",NA(),IF(INDEX($B$6:$M$17,($Q$3-1-0)*$Q$4+X52+1,0*$Q$5+W52+1)&gt;=0,0+(INDEX($B$6:$M$17,($Q$3-1-0)*$Q$4+X52+1,0*$Q$5+W52+1)-$Q$17)/$Q$19*$Q$13,NA())))</f>
        <v>#N/A</v>
      </c>
      <c r="AA52" t="e">
        <f>IF(V52=1,NA(),IF(INDEX($B$6:$M$17,($Q$3-1-0)*$Q$4+X52+1,0*$Q$5+W52+1)="",NA(),IF(INDEX($B$6:$M$17,($Q$3-1-0)*$Q$4+X52+1,0*$Q$5+W52+1)&lt;0,0+(INDEX($B$6:$M$17,($Q$3-1-0)*$Q$4+X52+1,0*$Q$5+W52+1)-$Q$17)/$Q$19*$Q$13,NA())))</f>
        <v>#N/A</v>
      </c>
      <c r="AB52" t="e">
        <f>IF(V52=1,NA(),IF(INDEX($B$6:$M$17,($Q$3-1-1)*$Q$4+X52+1,0*$Q$5+W52+1)="",NA(),IF(INDEX($B$6:$M$17,($Q$3-1-1)*$Q$4+X52+1,0*$Q$5+W52+1)&gt;=0,1+(INDEX($B$6:$M$17,($Q$3-1-1)*$Q$4+X52+1,0*$Q$5+W52+1)-$Q$17)/$Q$19*$Q$13,NA())))</f>
        <v>#N/A</v>
      </c>
      <c r="AC52" t="e">
        <f>IF(V52=1,NA(),IF(INDEX($B$6:$M$17,($Q$3-1-1)*$Q$4+X52+1,0*$Q$5+W52+1)="",NA(),IF(INDEX($B$6:$M$17,($Q$3-1-1)*$Q$4+X52+1,0*$Q$5+W52+1)&lt;0,1+(INDEX($B$6:$M$17,($Q$3-1-1)*$Q$4+X52+1,0*$Q$5+W52+1)-$Q$17)/$Q$19*$Q$13,NA())))</f>
        <v>#N/A</v>
      </c>
      <c r="AD52" t="e">
        <f>IF(V52=1,NA(),IF(INDEX($B$6:$M$17,($Q$3-1-2)*$Q$4+X52+1,0*$Q$5+W52+1)="",NA(),IF(INDEX($B$6:$M$17,($Q$3-1-2)*$Q$4+X52+1,0*$Q$5+W52+1)&gt;=0,2+(INDEX($B$6:$M$17,($Q$3-1-2)*$Q$4+X52+1,0*$Q$5+W52+1)-$Q$17)/$Q$19*$Q$13,NA())))</f>
        <v>#N/A</v>
      </c>
      <c r="AE52" t="e">
        <f>IF(V52=1,NA(),IF(INDEX($B$6:$M$17,($Q$3-1-2)*$Q$4+X52+1,0*$Q$5+W52+1)="",NA(),IF(INDEX($B$6:$M$17,($Q$3-1-2)*$Q$4+X52+1,0*$Q$5+W52+1)&lt;0,2+(INDEX($B$6:$M$17,($Q$3-1-2)*$Q$4+X52+1,0*$Q$5+W52+1)-$Q$17)/$Q$19*$Q$13,NA())))</f>
        <v>#N/A</v>
      </c>
      <c r="AF52" t="e">
        <f>IF(V52=1,NA(),IF(INDEX($B$6:$M$17,($Q$3-1-3)*$Q$4+X52+1,0*$Q$5+W52+1)="",NA(),IF(INDEX($B$6:$M$17,($Q$3-1-3)*$Q$4+X52+1,0*$Q$5+W52+1)&gt;=0,3+(INDEX($B$6:$M$17,($Q$3-1-3)*$Q$4+X52+1,0*$Q$5+W52+1)-$Q$17)/$Q$19*$Q$13,NA())))</f>
        <v>#N/A</v>
      </c>
      <c r="AG52" t="e">
        <f>IF(V52=1,NA(),IF(INDEX($B$6:$M$17,($Q$3-1-3)*$Q$4+X52+1,0*$Q$5+W52+1)="",NA(),IF(INDEX($B$6:$M$17,($Q$3-1-3)*$Q$4+X52+1,0*$Q$5+W52+1)&lt;0,3+(INDEX($B$6:$M$17,($Q$3-1-3)*$Q$4+X52+1,0*$Q$5+W52+1)-$Q$17)/$Q$19*$Q$13,NA())))</f>
        <v>#N/A</v>
      </c>
      <c r="AI52">
        <f>IF(V52=1,0,IF(INDEX($B$6:$M$17,($Q$3-1-0)*$Q$4+X52+1,0*$Q$5+W52+1)="",0,IF(INDEX($B$6:$M$17,($Q$3-1-0)*$Q$4+X52+1,0*$Q$5+W52+1)&gt;=0,ABS(INDEX($B$6:$M$17,($Q$3-1-0)*$Q$4+X52+1,0*$Q$5+W52+1))/$Q$19*$Q$13,0)))</f>
        <v>0</v>
      </c>
      <c r="AJ52">
        <f>IF(V52=1,0,IF(INDEX($B$6:$M$17,($Q$3-1-0)*$Q$4+X52+1,0*$Q$5+W52+1)="",0,IF(INDEX($B$6:$M$17,($Q$3-1-0)*$Q$4+X52+1,0*$Q$5+W52+1)&lt;0,ABS(INDEX($B$6:$M$17,($Q$3-1-0)*$Q$4+X52+1,0*$Q$5+W52+1))/$Q$19*$Q$13,0)))</f>
        <v>0</v>
      </c>
      <c r="AK52">
        <f>IF(V52=1,0,IF(INDEX($B$6:$M$17,($Q$3-1-1)*$Q$4+X52+1,0*$Q$5+W52+1)="",0,IF(INDEX($B$6:$M$17,($Q$3-1-1)*$Q$4+X52+1,0*$Q$5+W52+1)&gt;=0,ABS(INDEX($B$6:$M$17,($Q$3-1-1)*$Q$4+X52+1,0*$Q$5+W52+1))/$Q$19*$Q$13,0)))</f>
        <v>0</v>
      </c>
      <c r="AL52">
        <f>IF(V52=1,0,IF(INDEX($B$6:$M$17,($Q$3-1-1)*$Q$4+X52+1,0*$Q$5+W52+1)="",0,IF(INDEX($B$6:$M$17,($Q$3-1-1)*$Q$4+X52+1,0*$Q$5+W52+1)&lt;0,ABS(INDEX($B$6:$M$17,($Q$3-1-1)*$Q$4+X52+1,0*$Q$5+W52+1))/$Q$19*$Q$13,0)))</f>
        <v>0</v>
      </c>
      <c r="AM52">
        <f>IF(V52=1,0,IF(INDEX($B$6:$M$17,($Q$3-1-2)*$Q$4+X52+1,0*$Q$5+W52+1)="",0,IF(INDEX($B$6:$M$17,($Q$3-1-2)*$Q$4+X52+1,0*$Q$5+W52+1)&gt;=0,ABS(INDEX($B$6:$M$17,($Q$3-1-2)*$Q$4+X52+1,0*$Q$5+W52+1))/$Q$19*$Q$13,0)))</f>
        <v>0</v>
      </c>
      <c r="AN52">
        <f>IF(V52=1,0,IF(INDEX($B$6:$M$17,($Q$3-1-2)*$Q$4+X52+1,0*$Q$5+W52+1)="",0,IF(INDEX($B$6:$M$17,($Q$3-1-2)*$Q$4+X52+1,0*$Q$5+W52+1)&lt;0,ABS(INDEX($B$6:$M$17,($Q$3-1-2)*$Q$4+X52+1,0*$Q$5+W52+1))/$Q$19*$Q$13,0)))</f>
        <v>0</v>
      </c>
      <c r="AO52">
        <f>IF(V52=1,0,IF(INDEX($B$6:$M$17,($Q$3-1-3)*$Q$4+X52+1,0*$Q$5+W52+1)="",0,IF(INDEX($B$6:$M$17,($Q$3-1-3)*$Q$4+X52+1,0*$Q$5+W52+1)&gt;=0,ABS(INDEX($B$6:$M$17,($Q$3-1-3)*$Q$4+X52+1,0*$Q$5+W52+1))/$Q$19*$Q$13,0)))</f>
        <v>0</v>
      </c>
      <c r="AP52">
        <f>IF(V52=1,0,IF(INDEX($B$6:$M$17,($Q$3-1-3)*$Q$4+X52+1,0*$Q$5+W52+1)="",0,IF(INDEX($B$6:$M$17,($Q$3-1-3)*$Q$4+X52+1,0*$Q$5+W52+1)&lt;0,ABS(INDEX($B$6:$M$17,($Q$3-1-3)*$Q$4+X52+1,0*$Q$5+W52+1))/$Q$19*$Q$13,0)))</f>
        <v>0</v>
      </c>
      <c r="AR52" t="str">
        <f>IF(V52=1,"",IF(INDEX($B$6:$M$17,($Q$3-1-0)*$Q$4+X52+1,0*$Q$5+W52+1)="","",IF(INDEX($B$6:$M$17,($Q$3-1-0)*$Q$4+X52+1,0*$Q$5+W52+1)&gt;=0,TEXT(INDEX($B$6:$M$17,($Q$3-1-0)*$Q$4+X52+1,0*$Q$5+W52+1),"+0;-0;0"),"")))</f>
        <v/>
      </c>
      <c r="AS52" t="str">
        <f>IF(V52=1,"",IF(INDEX($B$6:$M$17,($Q$3-1-0)*$Q$4+X52+1,0*$Q$5+W52+1)="","",IF(INDEX($B$6:$M$17,($Q$3-1-0)*$Q$4+X52+1,0*$Q$5+W52+1)&lt;0,TEXT(INDEX($B$6:$M$17,($Q$3-1-0)*$Q$4+X52+1,0*$Q$5+W52+1),"+0;-0;0"),"")))</f>
        <v/>
      </c>
      <c r="AT52" t="str">
        <f>IF(V52=1,"",IF(INDEX($B$6:$M$17,($Q$3-1-1)*$Q$4+X52+1,0*$Q$5+W52+1)="","",IF(INDEX($B$6:$M$17,($Q$3-1-1)*$Q$4+X52+1,0*$Q$5+W52+1)&gt;=0,TEXT(INDEX($B$6:$M$17,($Q$3-1-1)*$Q$4+X52+1,0*$Q$5+W52+1),"+0;-0;0"),"")))</f>
        <v/>
      </c>
      <c r="AU52" t="str">
        <f>IF(V52=1,"",IF(INDEX($B$6:$M$17,($Q$3-1-1)*$Q$4+X52+1,0*$Q$5+W52+1)="","",IF(INDEX($B$6:$M$17,($Q$3-1-1)*$Q$4+X52+1,0*$Q$5+W52+1)&lt;0,TEXT(INDEX($B$6:$M$17,($Q$3-1-1)*$Q$4+X52+1,0*$Q$5+W52+1),"+0;-0;0"),"")))</f>
        <v/>
      </c>
      <c r="AV52" t="str">
        <f>IF(V52=1,"",IF(INDEX($B$6:$M$17,($Q$3-1-2)*$Q$4+X52+1,0*$Q$5+W52+1)="","",IF(INDEX($B$6:$M$17,($Q$3-1-2)*$Q$4+X52+1,0*$Q$5+W52+1)&gt;=0,TEXT(INDEX($B$6:$M$17,($Q$3-1-2)*$Q$4+X52+1,0*$Q$5+W52+1),"+0;-0;0"),"")))</f>
        <v/>
      </c>
      <c r="AW52" t="str">
        <f>IF(V52=1,"",IF(INDEX($B$6:$M$17,($Q$3-1-2)*$Q$4+X52+1,0*$Q$5+W52+1)="","",IF(INDEX($B$6:$M$17,($Q$3-1-2)*$Q$4+X52+1,0*$Q$5+W52+1)&lt;0,TEXT(INDEX($B$6:$M$17,($Q$3-1-2)*$Q$4+X52+1,0*$Q$5+W52+1),"+0;-0;0"),"")))</f>
        <v/>
      </c>
      <c r="AX52" t="str">
        <f>IF(V52=1,"",IF(INDEX($B$6:$M$17,($Q$3-1-3)*$Q$4+X52+1,0*$Q$5+W52+1)="","",IF(INDEX($B$6:$M$17,($Q$3-1-3)*$Q$4+X52+1,0*$Q$5+W52+1)&gt;=0,TEXT(INDEX($B$6:$M$17,($Q$3-1-3)*$Q$4+X52+1,0*$Q$5+W52+1),"+0;-0;0"),"")))</f>
        <v/>
      </c>
      <c r="AY52" t="str">
        <f>IF(V52=1,"",IF(INDEX($B$6:$M$17,($Q$3-1-3)*$Q$4+X52+1,0*$Q$5+W52+1)="","",IF(INDEX($B$6:$M$17,($Q$3-1-3)*$Q$4+X52+1,0*$Q$5+W52+1)&lt;0,TEXT(INDEX($B$6:$M$17,($Q$3-1-3)*$Q$4+X52+1,0*$Q$5+W52+1),"+0;-0;0"),"")))</f>
        <v/>
      </c>
      <c r="BG52">
        <v>15.5</v>
      </c>
      <c r="BH52">
        <f>IF(OR($Q$17&gt;0,$Q$18&lt;0),NA(),3+$Q$20)</f>
        <v>3.41</v>
      </c>
    </row>
    <row r="53" spans="16:60" x14ac:dyDescent="0.35">
      <c r="P53">
        <v>30</v>
      </c>
      <c r="Q53">
        <f>P53-$Q$12</f>
        <v>27</v>
      </c>
      <c r="R53">
        <f>IF(Q53&lt;=0,-1,INT((Q53-1)/($Q$10+$Q$11)))</f>
        <v>2</v>
      </c>
      <c r="S53">
        <f>IF(Q53&lt;=0,-1,MOD(Q53-1,($Q$10+$Q$11)))</f>
        <v>0</v>
      </c>
      <c r="T53">
        <f>IF(OR(S53&lt;0,S53&gt;=$Q$10),-1,INT(S53/$Q$9))</f>
        <v>0</v>
      </c>
      <c r="U53">
        <f>IF(OR(S53&lt;0,S53&gt;=$Q$10),-1,MOD(S53,$Q$9))</f>
        <v>0</v>
      </c>
      <c r="V53">
        <f>IF(OR(Q53&lt;=0,S53&lt;0,S53&gt;=$Q$10,R53&gt;=$Q$7),1,0)</f>
        <v>0</v>
      </c>
      <c r="W53">
        <f>IF(V53=1,-1,T53)</f>
        <v>0</v>
      </c>
      <c r="X53">
        <f>IF(V53=1,-1,R53)</f>
        <v>2</v>
      </c>
      <c r="Y53" t="str">
        <f>IF(V53=1,"",IF(AND(MOD(W53,3)=0,U53=INT(($Q$9-1)/2)),INDEX($B$5:$M$5,W53+1),""))</f>
        <v>Jan</v>
      </c>
      <c r="Z53" t="e">
        <f>IF(V53=1,NA(),IF(INDEX($B$6:$M$17,($Q$3-1-0)*$Q$4+X53+1,0*$Q$5+W53+1)="",NA(),IF(INDEX($B$6:$M$17,($Q$3-1-0)*$Q$4+X53+1,0*$Q$5+W53+1)&gt;=0,0+(INDEX($B$6:$M$17,($Q$3-1-0)*$Q$4+X53+1,0*$Q$5+W53+1)-$Q$17)/$Q$19*$Q$13,NA())))</f>
        <v>#N/A</v>
      </c>
      <c r="AA53">
        <f>IF(V53=1,NA(),IF(INDEX($B$6:$M$17,($Q$3-1-0)*$Q$4+X53+1,0*$Q$5+W53+1)="",NA(),IF(INDEX($B$6:$M$17,($Q$3-1-0)*$Q$4+X53+1,0*$Q$5+W53+1)&lt;0,0+(INDEX($B$6:$M$17,($Q$3-1-0)*$Q$4+X53+1,0*$Q$5+W53+1)-$Q$17)/$Q$19*$Q$13,NA())))</f>
        <v>0.34166666666666667</v>
      </c>
      <c r="AB53">
        <f>IF(V53=1,NA(),IF(INDEX($B$6:$M$17,($Q$3-1-1)*$Q$4+X53+1,0*$Q$5+W53+1)="",NA(),IF(INDEX($B$6:$M$17,($Q$3-1-1)*$Q$4+X53+1,0*$Q$5+W53+1)&gt;=0,1+(INDEX($B$6:$M$17,($Q$3-1-1)*$Q$4+X53+1,0*$Q$5+W53+1)-$Q$17)/$Q$19*$Q$13,NA())))</f>
        <v>1.5945</v>
      </c>
      <c r="AC53" t="e">
        <f>IF(V53=1,NA(),IF(INDEX($B$6:$M$17,($Q$3-1-1)*$Q$4+X53+1,0*$Q$5+W53+1)="",NA(),IF(INDEX($B$6:$M$17,($Q$3-1-1)*$Q$4+X53+1,0*$Q$5+W53+1)&lt;0,1+(INDEX($B$6:$M$17,($Q$3-1-1)*$Q$4+X53+1,0*$Q$5+W53+1)-$Q$17)/$Q$19*$Q$13,NA())))</f>
        <v>#N/A</v>
      </c>
      <c r="AD53" t="e">
        <f>IF(V53=1,NA(),IF(INDEX($B$6:$M$17,($Q$3-1-2)*$Q$4+X53+1,0*$Q$5+W53+1)="",NA(),IF(INDEX($B$6:$M$17,($Q$3-1-2)*$Q$4+X53+1,0*$Q$5+W53+1)&gt;=0,2+(INDEX($B$6:$M$17,($Q$3-1-2)*$Q$4+X53+1,0*$Q$5+W53+1)-$Q$17)/$Q$19*$Q$13,NA())))</f>
        <v>#N/A</v>
      </c>
      <c r="AE53">
        <f>IF(V53=1,NA(),IF(INDEX($B$6:$M$17,($Q$3-1-2)*$Q$4+X53+1,0*$Q$5+W53+1)="",NA(),IF(INDEX($B$6:$M$17,($Q$3-1-2)*$Q$4+X53+1,0*$Q$5+W53+1)&lt;0,2+(INDEX($B$6:$M$17,($Q$3-1-2)*$Q$4+X53+1,0*$Q$5+W53+1)-$Q$17)/$Q$19*$Q$13,NA())))</f>
        <v>2.4031666666666665</v>
      </c>
      <c r="AF53" t="e">
        <f>IF(V53=1,NA(),IF(INDEX($B$6:$M$17,($Q$3-1-3)*$Q$4+X53+1,0*$Q$5+W53+1)="",NA(),IF(INDEX($B$6:$M$17,($Q$3-1-3)*$Q$4+X53+1,0*$Q$5+W53+1)&gt;=0,3+(INDEX($B$6:$M$17,($Q$3-1-3)*$Q$4+X53+1,0*$Q$5+W53+1)-$Q$17)/$Q$19*$Q$13,NA())))</f>
        <v>#N/A</v>
      </c>
      <c r="AG53">
        <f>IF(V53=1,NA(),IF(INDEX($B$6:$M$17,($Q$3-1-3)*$Q$4+X53+1,0*$Q$5+W53+1)="",NA(),IF(INDEX($B$6:$M$17,($Q$3-1-3)*$Q$4+X53+1,0*$Q$5+W53+1)&lt;0,3+(INDEX($B$6:$M$17,($Q$3-1-3)*$Q$4+X53+1,0*$Q$5+W53+1)-$Q$17)/$Q$19*$Q$13,NA())))</f>
        <v>3.2050000000000001</v>
      </c>
      <c r="AI53">
        <f>IF(V53=1,0,IF(INDEX($B$6:$M$17,($Q$3-1-0)*$Q$4+X53+1,0*$Q$5+W53+1)="",0,IF(INDEX($B$6:$M$17,($Q$3-1-0)*$Q$4+X53+1,0*$Q$5+W53+1)&gt;=0,ABS(INDEX($B$6:$M$17,($Q$3-1-0)*$Q$4+X53+1,0*$Q$5+W53+1))/$Q$19*$Q$13,0)))</f>
        <v>0</v>
      </c>
      <c r="AJ53">
        <f>IF(V53=1,0,IF(INDEX($B$6:$M$17,($Q$3-1-0)*$Q$4+X53+1,0*$Q$5+W53+1)="",0,IF(INDEX($B$6:$M$17,($Q$3-1-0)*$Q$4+X53+1,0*$Q$5+W53+1)&lt;0,ABS(INDEX($B$6:$M$17,($Q$3-1-0)*$Q$4+X53+1,0*$Q$5+W53+1))/$Q$19*$Q$13,0)))</f>
        <v>6.8333333333333329E-2</v>
      </c>
      <c r="AK53">
        <f>IF(V53=1,0,IF(INDEX($B$6:$M$17,($Q$3-1-1)*$Q$4+X53+1,0*$Q$5+W53+1)="",0,IF(INDEX($B$6:$M$17,($Q$3-1-1)*$Q$4+X53+1,0*$Q$5+W53+1)&gt;=0,ABS(INDEX($B$6:$M$17,($Q$3-1-1)*$Q$4+X53+1,0*$Q$5+W53+1))/$Q$19*$Q$13,0)))</f>
        <v>0.1845</v>
      </c>
      <c r="AL53">
        <f>IF(V53=1,0,IF(INDEX($B$6:$M$17,($Q$3-1-1)*$Q$4+X53+1,0*$Q$5+W53+1)="",0,IF(INDEX($B$6:$M$17,($Q$3-1-1)*$Q$4+X53+1,0*$Q$5+W53+1)&lt;0,ABS(INDEX($B$6:$M$17,($Q$3-1-1)*$Q$4+X53+1,0*$Q$5+W53+1))/$Q$19*$Q$13,0)))</f>
        <v>0</v>
      </c>
      <c r="AM53">
        <f>IF(V53=1,0,IF(INDEX($B$6:$M$17,($Q$3-1-2)*$Q$4+X53+1,0*$Q$5+W53+1)="",0,IF(INDEX($B$6:$M$17,($Q$3-1-2)*$Q$4+X53+1,0*$Q$5+W53+1)&gt;=0,ABS(INDEX($B$6:$M$17,($Q$3-1-2)*$Q$4+X53+1,0*$Q$5+W53+1))/$Q$19*$Q$13,0)))</f>
        <v>0</v>
      </c>
      <c r="AN53">
        <f>IF(V53=1,0,IF(INDEX($B$6:$M$17,($Q$3-1-2)*$Q$4+X53+1,0*$Q$5+W53+1)="",0,IF(INDEX($B$6:$M$17,($Q$3-1-2)*$Q$4+X53+1,0*$Q$5+W53+1)&lt;0,ABS(INDEX($B$6:$M$17,($Q$3-1-2)*$Q$4+X53+1,0*$Q$5+W53+1))/$Q$19*$Q$13,0)))</f>
        <v>6.8333333333333328E-3</v>
      </c>
      <c r="AO53">
        <f>IF(V53=1,0,IF(INDEX($B$6:$M$17,($Q$3-1-3)*$Q$4+X53+1,0*$Q$5+W53+1)="",0,IF(INDEX($B$6:$M$17,($Q$3-1-3)*$Q$4+X53+1,0*$Q$5+W53+1)&gt;=0,ABS(INDEX($B$6:$M$17,($Q$3-1-3)*$Q$4+X53+1,0*$Q$5+W53+1))/$Q$19*$Q$13,0)))</f>
        <v>0</v>
      </c>
      <c r="AP53">
        <f>IF(V53=1,0,IF(INDEX($B$6:$M$17,($Q$3-1-3)*$Q$4+X53+1,0*$Q$5+W53+1)="",0,IF(INDEX($B$6:$M$17,($Q$3-1-3)*$Q$4+X53+1,0*$Q$5+W53+1)&lt;0,ABS(INDEX($B$6:$M$17,($Q$3-1-3)*$Q$4+X53+1,0*$Q$5+W53+1))/$Q$19*$Q$13,0)))</f>
        <v>0.20499999999999999</v>
      </c>
      <c r="AR53" t="str">
        <f>IF(V53=1,"",IF(INDEX($B$6:$M$17,($Q$3-1-0)*$Q$4+X53+1,0*$Q$5+W53+1)="","",IF(INDEX($B$6:$M$17,($Q$3-1-0)*$Q$4+X53+1,0*$Q$5+W53+1)&gt;=0,TEXT(INDEX($B$6:$M$17,($Q$3-1-0)*$Q$4+X53+1,0*$Q$5+W53+1),"+0;-0;0"),"")))</f>
        <v/>
      </c>
      <c r="AS53" t="str">
        <f>IF(V53=1,"",IF(INDEX($B$6:$M$17,($Q$3-1-0)*$Q$4+X53+1,0*$Q$5+W53+1)="","",IF(INDEX($B$6:$M$17,($Q$3-1-0)*$Q$4+X53+1,0*$Q$5+W53+1)&lt;0,TEXT(INDEX($B$6:$M$17,($Q$3-1-0)*$Q$4+X53+1,0*$Q$5+W53+1),"+0;-0;0"),"")))</f>
        <v>-5</v>
      </c>
      <c r="AT53" t="str">
        <f>IF(V53=1,"",IF(INDEX($B$6:$M$17,($Q$3-1-1)*$Q$4+X53+1,0*$Q$5+W53+1)="","",IF(INDEX($B$6:$M$17,($Q$3-1-1)*$Q$4+X53+1,0*$Q$5+W53+1)&gt;=0,TEXT(INDEX($B$6:$M$17,($Q$3-1-1)*$Q$4+X53+1,0*$Q$5+W53+1),"+0;-0;0"),"")))</f>
        <v>+14</v>
      </c>
      <c r="AU53" t="str">
        <f>IF(V53=1,"",IF(INDEX($B$6:$M$17,($Q$3-1-1)*$Q$4+X53+1,0*$Q$5+W53+1)="","",IF(INDEX($B$6:$M$17,($Q$3-1-1)*$Q$4+X53+1,0*$Q$5+W53+1)&lt;0,TEXT(INDEX($B$6:$M$17,($Q$3-1-1)*$Q$4+X53+1,0*$Q$5+W53+1),"+0;-0;0"),"")))</f>
        <v/>
      </c>
      <c r="AV53" t="str">
        <f>IF(V53=1,"",IF(INDEX($B$6:$M$17,($Q$3-1-2)*$Q$4+X53+1,0*$Q$5+W53+1)="","",IF(INDEX($B$6:$M$17,($Q$3-1-2)*$Q$4+X53+1,0*$Q$5+W53+1)&gt;=0,TEXT(INDEX($B$6:$M$17,($Q$3-1-2)*$Q$4+X53+1,0*$Q$5+W53+1),"+0;-0;0"),"")))</f>
        <v/>
      </c>
      <c r="AW53" t="str">
        <f>IF(V53=1,"",IF(INDEX($B$6:$M$17,($Q$3-1-2)*$Q$4+X53+1,0*$Q$5+W53+1)="","",IF(INDEX($B$6:$M$17,($Q$3-1-2)*$Q$4+X53+1,0*$Q$5+W53+1)&lt;0,TEXT(INDEX($B$6:$M$17,($Q$3-1-2)*$Q$4+X53+1,0*$Q$5+W53+1),"+0;-0;0"),"")))</f>
        <v>-1</v>
      </c>
      <c r="AX53" t="str">
        <f>IF(V53=1,"",IF(INDEX($B$6:$M$17,($Q$3-1-3)*$Q$4+X53+1,0*$Q$5+W53+1)="","",IF(INDEX($B$6:$M$17,($Q$3-1-3)*$Q$4+X53+1,0*$Q$5+W53+1)&gt;=0,TEXT(INDEX($B$6:$M$17,($Q$3-1-3)*$Q$4+X53+1,0*$Q$5+W53+1),"+0;-0;0"),"")))</f>
        <v/>
      </c>
      <c r="AY53" t="str">
        <f>IF(V53=1,"",IF(INDEX($B$6:$M$17,($Q$3-1-3)*$Q$4+X53+1,0*$Q$5+W53+1)="","",IF(INDEX($B$6:$M$17,($Q$3-1-3)*$Q$4+X53+1,0*$Q$5+W53+1)&lt;0,TEXT(INDEX($B$6:$M$17,($Q$3-1-3)*$Q$4+X53+1,0*$Q$5+W53+1),"+0;-0;0"),"")))</f>
        <v>-15</v>
      </c>
      <c r="BG53">
        <v>15.5</v>
      </c>
      <c r="BH53" t="e">
        <f>NA()</f>
        <v>#N/A</v>
      </c>
    </row>
    <row r="54" spans="16:60" x14ac:dyDescent="0.35">
      <c r="P54">
        <v>31</v>
      </c>
      <c r="Q54">
        <f>P54-$Q$12</f>
        <v>28</v>
      </c>
      <c r="R54">
        <f>IF(Q54&lt;=0,-1,INT((Q54-1)/($Q$10+$Q$11)))</f>
        <v>2</v>
      </c>
      <c r="S54">
        <f>IF(Q54&lt;=0,-1,MOD(Q54-1,($Q$10+$Q$11)))</f>
        <v>1</v>
      </c>
      <c r="T54">
        <f>IF(OR(S54&lt;0,S54&gt;=$Q$10),-1,INT(S54/$Q$9))</f>
        <v>1</v>
      </c>
      <c r="U54">
        <f>IF(OR(S54&lt;0,S54&gt;=$Q$10),-1,MOD(S54,$Q$9))</f>
        <v>0</v>
      </c>
      <c r="V54">
        <f>IF(OR(Q54&lt;=0,S54&lt;0,S54&gt;=$Q$10,R54&gt;=$Q$7),1,0)</f>
        <v>0</v>
      </c>
      <c r="W54">
        <f>IF(V54=1,-1,T54)</f>
        <v>1</v>
      </c>
      <c r="X54">
        <f>IF(V54=1,-1,R54)</f>
        <v>2</v>
      </c>
      <c r="Y54" t="str">
        <f>IF(V54=1,"",IF(AND(MOD(W54,3)=0,U54=INT(($Q$9-1)/2)),INDEX($B$5:$M$5,W54+1),""))</f>
        <v/>
      </c>
      <c r="Z54">
        <f>IF(V54=1,NA(),IF(INDEX($B$6:$M$17,($Q$3-1-0)*$Q$4+X54+1,0*$Q$5+W54+1)="",NA(),IF(INDEX($B$6:$M$17,($Q$3-1-0)*$Q$4+X54+1,0*$Q$5+W54+1)&gt;=0,0+(INDEX($B$6:$M$17,($Q$3-1-0)*$Q$4+X54+1,0*$Q$5+W54+1)-$Q$17)/$Q$19*$Q$13,NA())))</f>
        <v>0.54666666666666663</v>
      </c>
      <c r="AA54" t="e">
        <f>IF(V54=1,NA(),IF(INDEX($B$6:$M$17,($Q$3-1-0)*$Q$4+X54+1,0*$Q$5+W54+1)="",NA(),IF(INDEX($B$6:$M$17,($Q$3-1-0)*$Q$4+X54+1,0*$Q$5+W54+1)&lt;0,0+(INDEX($B$6:$M$17,($Q$3-1-0)*$Q$4+X54+1,0*$Q$5+W54+1)-$Q$17)/$Q$19*$Q$13,NA())))</f>
        <v>#N/A</v>
      </c>
      <c r="AB54" t="e">
        <f>IF(V54=1,NA(),IF(INDEX($B$6:$M$17,($Q$3-1-1)*$Q$4+X54+1,0*$Q$5+W54+1)="",NA(),IF(INDEX($B$6:$M$17,($Q$3-1-1)*$Q$4+X54+1,0*$Q$5+W54+1)&gt;=0,1+(INDEX($B$6:$M$17,($Q$3-1-1)*$Q$4+X54+1,0*$Q$5+W54+1)-$Q$17)/$Q$19*$Q$13,NA())))</f>
        <v>#N/A</v>
      </c>
      <c r="AC54">
        <f>IF(V54=1,NA(),IF(INDEX($B$6:$M$17,($Q$3-1-1)*$Q$4+X54+1,0*$Q$5+W54+1)="",NA(),IF(INDEX($B$6:$M$17,($Q$3-1-1)*$Q$4+X54+1,0*$Q$5+W54+1)&lt;0,1+(INDEX($B$6:$M$17,($Q$3-1-1)*$Q$4+X54+1,0*$Q$5+W54+1)-$Q$17)/$Q$19*$Q$13,NA())))</f>
        <v>1.3485</v>
      </c>
      <c r="AD54" t="e">
        <f>IF(V54=1,NA(),IF(INDEX($B$6:$M$17,($Q$3-1-2)*$Q$4+X54+1,0*$Q$5+W54+1)="",NA(),IF(INDEX($B$6:$M$17,($Q$3-1-2)*$Q$4+X54+1,0*$Q$5+W54+1)&gt;=0,2+(INDEX($B$6:$M$17,($Q$3-1-2)*$Q$4+X54+1,0*$Q$5+W54+1)-$Q$17)/$Q$19*$Q$13,NA())))</f>
        <v>#N/A</v>
      </c>
      <c r="AE54">
        <f>IF(V54=1,NA(),IF(INDEX($B$6:$M$17,($Q$3-1-2)*$Q$4+X54+1,0*$Q$5+W54+1)="",NA(),IF(INDEX($B$6:$M$17,($Q$3-1-2)*$Q$4+X54+1,0*$Q$5+W54+1)&lt;0,2+(INDEX($B$6:$M$17,($Q$3-1-2)*$Q$4+X54+1,0*$Q$5+W54+1)-$Q$17)/$Q$19*$Q$13,NA())))</f>
        <v>2.1571666666666669</v>
      </c>
      <c r="AF54">
        <f>IF(V54=1,NA(),IF(INDEX($B$6:$M$17,($Q$3-1-3)*$Q$4+X54+1,0*$Q$5+W54+1)="",NA(),IF(INDEX($B$6:$M$17,($Q$3-1-3)*$Q$4+X54+1,0*$Q$5+W54+1)&gt;=0,3+(INDEX($B$6:$M$17,($Q$3-1-3)*$Q$4+X54+1,0*$Q$5+W54+1)-$Q$17)/$Q$19*$Q$13,NA())))</f>
        <v>3.41</v>
      </c>
      <c r="AG54" t="e">
        <f>IF(V54=1,NA(),IF(INDEX($B$6:$M$17,($Q$3-1-3)*$Q$4+X54+1,0*$Q$5+W54+1)="",NA(),IF(INDEX($B$6:$M$17,($Q$3-1-3)*$Q$4+X54+1,0*$Q$5+W54+1)&lt;0,3+(INDEX($B$6:$M$17,($Q$3-1-3)*$Q$4+X54+1,0*$Q$5+W54+1)-$Q$17)/$Q$19*$Q$13,NA())))</f>
        <v>#N/A</v>
      </c>
      <c r="AI54">
        <f>IF(V54=1,0,IF(INDEX($B$6:$M$17,($Q$3-1-0)*$Q$4+X54+1,0*$Q$5+W54+1)="",0,IF(INDEX($B$6:$M$17,($Q$3-1-0)*$Q$4+X54+1,0*$Q$5+W54+1)&gt;=0,ABS(INDEX($B$6:$M$17,($Q$3-1-0)*$Q$4+X54+1,0*$Q$5+W54+1))/$Q$19*$Q$13,0)))</f>
        <v>0.13666666666666666</v>
      </c>
      <c r="AJ54">
        <f>IF(V54=1,0,IF(INDEX($B$6:$M$17,($Q$3-1-0)*$Q$4+X54+1,0*$Q$5+W54+1)="",0,IF(INDEX($B$6:$M$17,($Q$3-1-0)*$Q$4+X54+1,0*$Q$5+W54+1)&lt;0,ABS(INDEX($B$6:$M$17,($Q$3-1-0)*$Q$4+X54+1,0*$Q$5+W54+1))/$Q$19*$Q$13,0)))</f>
        <v>0</v>
      </c>
      <c r="AK54">
        <f>IF(V54=1,0,IF(INDEX($B$6:$M$17,($Q$3-1-1)*$Q$4+X54+1,0*$Q$5+W54+1)="",0,IF(INDEX($B$6:$M$17,($Q$3-1-1)*$Q$4+X54+1,0*$Q$5+W54+1)&gt;=0,ABS(INDEX($B$6:$M$17,($Q$3-1-1)*$Q$4+X54+1,0*$Q$5+W54+1))/$Q$19*$Q$13,0)))</f>
        <v>0</v>
      </c>
      <c r="AL54">
        <f>IF(V54=1,0,IF(INDEX($B$6:$M$17,($Q$3-1-1)*$Q$4+X54+1,0*$Q$5+W54+1)="",0,IF(INDEX($B$6:$M$17,($Q$3-1-1)*$Q$4+X54+1,0*$Q$5+W54+1)&lt;0,ABS(INDEX($B$6:$M$17,($Q$3-1-1)*$Q$4+X54+1,0*$Q$5+W54+1))/$Q$19*$Q$13,0)))</f>
        <v>6.1499999999999992E-2</v>
      </c>
      <c r="AM54">
        <f>IF(V54=1,0,IF(INDEX($B$6:$M$17,($Q$3-1-2)*$Q$4+X54+1,0*$Q$5+W54+1)="",0,IF(INDEX($B$6:$M$17,($Q$3-1-2)*$Q$4+X54+1,0*$Q$5+W54+1)&gt;=0,ABS(INDEX($B$6:$M$17,($Q$3-1-2)*$Q$4+X54+1,0*$Q$5+W54+1))/$Q$19*$Q$13,0)))</f>
        <v>0</v>
      </c>
      <c r="AN54">
        <f>IF(V54=1,0,IF(INDEX($B$6:$M$17,($Q$3-1-2)*$Q$4+X54+1,0*$Q$5+W54+1)="",0,IF(INDEX($B$6:$M$17,($Q$3-1-2)*$Q$4+X54+1,0*$Q$5+W54+1)&lt;0,ABS(INDEX($B$6:$M$17,($Q$3-1-2)*$Q$4+X54+1,0*$Q$5+W54+1))/$Q$19*$Q$13,0)))</f>
        <v>0.25283333333333335</v>
      </c>
      <c r="AO54">
        <f>IF(V54=1,0,IF(INDEX($B$6:$M$17,($Q$3-1-3)*$Q$4+X54+1,0*$Q$5+W54+1)="",0,IF(INDEX($B$6:$M$17,($Q$3-1-3)*$Q$4+X54+1,0*$Q$5+W54+1)&gt;=0,ABS(INDEX($B$6:$M$17,($Q$3-1-3)*$Q$4+X54+1,0*$Q$5+W54+1))/$Q$19*$Q$13,0)))</f>
        <v>0</v>
      </c>
      <c r="AP54">
        <f>IF(V54=1,0,IF(INDEX($B$6:$M$17,($Q$3-1-3)*$Q$4+X54+1,0*$Q$5+W54+1)="",0,IF(INDEX($B$6:$M$17,($Q$3-1-3)*$Q$4+X54+1,0*$Q$5+W54+1)&lt;0,ABS(INDEX($B$6:$M$17,($Q$3-1-3)*$Q$4+X54+1,0*$Q$5+W54+1))/$Q$19*$Q$13,0)))</f>
        <v>0</v>
      </c>
      <c r="AR54" t="str">
        <f>IF(V54=1,"",IF(INDEX($B$6:$M$17,($Q$3-1-0)*$Q$4+X54+1,0*$Q$5+W54+1)="","",IF(INDEX($B$6:$M$17,($Q$3-1-0)*$Q$4+X54+1,0*$Q$5+W54+1)&gt;=0,TEXT(INDEX($B$6:$M$17,($Q$3-1-0)*$Q$4+X54+1,0*$Q$5+W54+1),"+0;-0;0"),"")))</f>
        <v>+10</v>
      </c>
      <c r="AS54" t="str">
        <f>IF(V54=1,"",IF(INDEX($B$6:$M$17,($Q$3-1-0)*$Q$4+X54+1,0*$Q$5+W54+1)="","",IF(INDEX($B$6:$M$17,($Q$3-1-0)*$Q$4+X54+1,0*$Q$5+W54+1)&lt;0,TEXT(INDEX($B$6:$M$17,($Q$3-1-0)*$Q$4+X54+1,0*$Q$5+W54+1),"+0;-0;0"),"")))</f>
        <v/>
      </c>
      <c r="AT54" t="str">
        <f>IF(V54=1,"",IF(INDEX($B$6:$M$17,($Q$3-1-1)*$Q$4+X54+1,0*$Q$5+W54+1)="","",IF(INDEX($B$6:$M$17,($Q$3-1-1)*$Q$4+X54+1,0*$Q$5+W54+1)&gt;=0,TEXT(INDEX($B$6:$M$17,($Q$3-1-1)*$Q$4+X54+1,0*$Q$5+W54+1),"+0;-0;0"),"")))</f>
        <v/>
      </c>
      <c r="AU54" t="str">
        <f>IF(V54=1,"",IF(INDEX($B$6:$M$17,($Q$3-1-1)*$Q$4+X54+1,0*$Q$5+W54+1)="","",IF(INDEX($B$6:$M$17,($Q$3-1-1)*$Q$4+X54+1,0*$Q$5+W54+1)&lt;0,TEXT(INDEX($B$6:$M$17,($Q$3-1-1)*$Q$4+X54+1,0*$Q$5+W54+1),"+0;-0;0"),"")))</f>
        <v>-5</v>
      </c>
      <c r="AV54" t="str">
        <f>IF(V54=1,"",IF(INDEX($B$6:$M$17,($Q$3-1-2)*$Q$4+X54+1,0*$Q$5+W54+1)="","",IF(INDEX($B$6:$M$17,($Q$3-1-2)*$Q$4+X54+1,0*$Q$5+W54+1)&gt;=0,TEXT(INDEX($B$6:$M$17,($Q$3-1-2)*$Q$4+X54+1,0*$Q$5+W54+1),"+0;-0;0"),"")))</f>
        <v/>
      </c>
      <c r="AW54" t="str">
        <f>IF(V54=1,"",IF(INDEX($B$6:$M$17,($Q$3-1-2)*$Q$4+X54+1,0*$Q$5+W54+1)="","",IF(INDEX($B$6:$M$17,($Q$3-1-2)*$Q$4+X54+1,0*$Q$5+W54+1)&lt;0,TEXT(INDEX($B$6:$M$17,($Q$3-1-2)*$Q$4+X54+1,0*$Q$5+W54+1),"+0;-0;0"),"")))</f>
        <v>-19</v>
      </c>
      <c r="AX54" t="str">
        <f>IF(V54=1,"",IF(INDEX($B$6:$M$17,($Q$3-1-3)*$Q$4+X54+1,0*$Q$5+W54+1)="","",IF(INDEX($B$6:$M$17,($Q$3-1-3)*$Q$4+X54+1,0*$Q$5+W54+1)&gt;=0,TEXT(INDEX($B$6:$M$17,($Q$3-1-3)*$Q$4+X54+1,0*$Q$5+W54+1),"+0;-0;0"),"")))</f>
        <v>0</v>
      </c>
      <c r="AY54" t="str">
        <f>IF(V54=1,"",IF(INDEX($B$6:$M$17,($Q$3-1-3)*$Q$4+X54+1,0*$Q$5+W54+1)="","",IF(INDEX($B$6:$M$17,($Q$3-1-3)*$Q$4+X54+1,0*$Q$5+W54+1)&lt;0,TEXT(INDEX($B$6:$M$17,($Q$3-1-3)*$Q$4+X54+1,0*$Q$5+W54+1),"+0;-0;0"),"")))</f>
        <v/>
      </c>
      <c r="BG54">
        <v>16.5</v>
      </c>
      <c r="BH54">
        <f>IF(OR($Q$17&gt;0,$Q$18&lt;0),NA(),3+$Q$20)</f>
        <v>3.41</v>
      </c>
    </row>
    <row r="55" spans="16:60" x14ac:dyDescent="0.35">
      <c r="P55">
        <v>32</v>
      </c>
      <c r="Q55">
        <f>P55-$Q$12</f>
        <v>29</v>
      </c>
      <c r="R55">
        <f>IF(Q55&lt;=0,-1,INT((Q55-1)/($Q$10+$Q$11)))</f>
        <v>2</v>
      </c>
      <c r="S55">
        <f>IF(Q55&lt;=0,-1,MOD(Q55-1,($Q$10+$Q$11)))</f>
        <v>2</v>
      </c>
      <c r="T55">
        <f>IF(OR(S55&lt;0,S55&gt;=$Q$10),-1,INT(S55/$Q$9))</f>
        <v>2</v>
      </c>
      <c r="U55">
        <f>IF(OR(S55&lt;0,S55&gt;=$Q$10),-1,MOD(S55,$Q$9))</f>
        <v>0</v>
      </c>
      <c r="V55">
        <f>IF(OR(Q55&lt;=0,S55&lt;0,S55&gt;=$Q$10,R55&gt;=$Q$7),1,0)</f>
        <v>0</v>
      </c>
      <c r="W55">
        <f>IF(V55=1,-1,T55)</f>
        <v>2</v>
      </c>
      <c r="X55">
        <f>IF(V55=1,-1,R55)</f>
        <v>2</v>
      </c>
      <c r="Y55" t="str">
        <f>IF(V55=1,"",IF(AND(MOD(W55,3)=0,U55=INT(($Q$9-1)/2)),INDEX($B$5:$M$5,W55+1),""))</f>
        <v/>
      </c>
      <c r="Z55" t="e">
        <f>IF(V55=1,NA(),IF(INDEX($B$6:$M$17,($Q$3-1-0)*$Q$4+X55+1,0*$Q$5+W55+1)="",NA(),IF(INDEX($B$6:$M$17,($Q$3-1-0)*$Q$4+X55+1,0*$Q$5+W55+1)&gt;=0,0+(INDEX($B$6:$M$17,($Q$3-1-0)*$Q$4+X55+1,0*$Q$5+W55+1)-$Q$17)/$Q$19*$Q$13,NA())))</f>
        <v>#N/A</v>
      </c>
      <c r="AA55">
        <f>IF(V55=1,NA(),IF(INDEX($B$6:$M$17,($Q$3-1-0)*$Q$4+X55+1,0*$Q$5+W55+1)="",NA(),IF(INDEX($B$6:$M$17,($Q$3-1-0)*$Q$4+X55+1,0*$Q$5+W55+1)&lt;0,0+(INDEX($B$6:$M$17,($Q$3-1-0)*$Q$4+X55+1,0*$Q$5+W55+1)-$Q$17)/$Q$19*$Q$13,NA())))</f>
        <v>0.30066666666666664</v>
      </c>
      <c r="AB55">
        <f>IF(V55=1,NA(),IF(INDEX($B$6:$M$17,($Q$3-1-1)*$Q$4+X55+1,0*$Q$5+W55+1)="",NA(),IF(INDEX($B$6:$M$17,($Q$3-1-1)*$Q$4+X55+1,0*$Q$5+W55+1)&gt;=0,1+(INDEX($B$6:$M$17,($Q$3-1-1)*$Q$4+X55+1,0*$Q$5+W55+1)-$Q$17)/$Q$19*$Q$13,NA())))</f>
        <v>1.5535000000000001</v>
      </c>
      <c r="AC55" t="e">
        <f>IF(V55=1,NA(),IF(INDEX($B$6:$M$17,($Q$3-1-1)*$Q$4+X55+1,0*$Q$5+W55+1)="",NA(),IF(INDEX($B$6:$M$17,($Q$3-1-1)*$Q$4+X55+1,0*$Q$5+W55+1)&lt;0,1+(INDEX($B$6:$M$17,($Q$3-1-1)*$Q$4+X55+1,0*$Q$5+W55+1)-$Q$17)/$Q$19*$Q$13,NA())))</f>
        <v>#N/A</v>
      </c>
      <c r="AD55" t="e">
        <f>IF(V55=1,NA(),IF(INDEX($B$6:$M$17,($Q$3-1-2)*$Q$4+X55+1,0*$Q$5+W55+1)="",NA(),IF(INDEX($B$6:$M$17,($Q$3-1-2)*$Q$4+X55+1,0*$Q$5+W55+1)&gt;=0,2+(INDEX($B$6:$M$17,($Q$3-1-2)*$Q$4+X55+1,0*$Q$5+W55+1)-$Q$17)/$Q$19*$Q$13,NA())))</f>
        <v>#N/A</v>
      </c>
      <c r="AE55">
        <f>IF(V55=1,NA(),IF(INDEX($B$6:$M$17,($Q$3-1-2)*$Q$4+X55+1,0*$Q$5+W55+1)="",NA(),IF(INDEX($B$6:$M$17,($Q$3-1-2)*$Q$4+X55+1,0*$Q$5+W55+1)&lt;0,2+(INDEX($B$6:$M$17,($Q$3-1-2)*$Q$4+X55+1,0*$Q$5+W55+1)-$Q$17)/$Q$19*$Q$13,NA())))</f>
        <v>2.3621666666666665</v>
      </c>
      <c r="AF55">
        <f>IF(V55=1,NA(),IF(INDEX($B$6:$M$17,($Q$3-1-3)*$Q$4+X55+1,0*$Q$5+W55+1)="",NA(),IF(INDEX($B$6:$M$17,($Q$3-1-3)*$Q$4+X55+1,0*$Q$5+W55+1)&gt;=0,3+(INDEX($B$6:$M$17,($Q$3-1-3)*$Q$4+X55+1,0*$Q$5+W55+1)-$Q$17)/$Q$19*$Q$13,NA())))</f>
        <v>3.6150000000000002</v>
      </c>
      <c r="AG55" t="e">
        <f>IF(V55=1,NA(),IF(INDEX($B$6:$M$17,($Q$3-1-3)*$Q$4+X55+1,0*$Q$5+W55+1)="",NA(),IF(INDEX($B$6:$M$17,($Q$3-1-3)*$Q$4+X55+1,0*$Q$5+W55+1)&lt;0,3+(INDEX($B$6:$M$17,($Q$3-1-3)*$Q$4+X55+1,0*$Q$5+W55+1)-$Q$17)/$Q$19*$Q$13,NA())))</f>
        <v>#N/A</v>
      </c>
      <c r="AI55">
        <f>IF(V55=1,0,IF(INDEX($B$6:$M$17,($Q$3-1-0)*$Q$4+X55+1,0*$Q$5+W55+1)="",0,IF(INDEX($B$6:$M$17,($Q$3-1-0)*$Q$4+X55+1,0*$Q$5+W55+1)&gt;=0,ABS(INDEX($B$6:$M$17,($Q$3-1-0)*$Q$4+X55+1,0*$Q$5+W55+1))/$Q$19*$Q$13,0)))</f>
        <v>0</v>
      </c>
      <c r="AJ55">
        <f>IF(V55=1,0,IF(INDEX($B$6:$M$17,($Q$3-1-0)*$Q$4+X55+1,0*$Q$5+W55+1)="",0,IF(INDEX($B$6:$M$17,($Q$3-1-0)*$Q$4+X55+1,0*$Q$5+W55+1)&lt;0,ABS(INDEX($B$6:$M$17,($Q$3-1-0)*$Q$4+X55+1,0*$Q$5+W55+1))/$Q$19*$Q$13,0)))</f>
        <v>0.10933333333333332</v>
      </c>
      <c r="AK55">
        <f>IF(V55=1,0,IF(INDEX($B$6:$M$17,($Q$3-1-1)*$Q$4+X55+1,0*$Q$5+W55+1)="",0,IF(INDEX($B$6:$M$17,($Q$3-1-1)*$Q$4+X55+1,0*$Q$5+W55+1)&gt;=0,ABS(INDEX($B$6:$M$17,($Q$3-1-1)*$Q$4+X55+1,0*$Q$5+W55+1))/$Q$19*$Q$13,0)))</f>
        <v>0.14349999999999999</v>
      </c>
      <c r="AL55">
        <f>IF(V55=1,0,IF(INDEX($B$6:$M$17,($Q$3-1-1)*$Q$4+X55+1,0*$Q$5+W55+1)="",0,IF(INDEX($B$6:$M$17,($Q$3-1-1)*$Q$4+X55+1,0*$Q$5+W55+1)&lt;0,ABS(INDEX($B$6:$M$17,($Q$3-1-1)*$Q$4+X55+1,0*$Q$5+W55+1))/$Q$19*$Q$13,0)))</f>
        <v>0</v>
      </c>
      <c r="AM55">
        <f>IF(V55=1,0,IF(INDEX($B$6:$M$17,($Q$3-1-2)*$Q$4+X55+1,0*$Q$5+W55+1)="",0,IF(INDEX($B$6:$M$17,($Q$3-1-2)*$Q$4+X55+1,0*$Q$5+W55+1)&gt;=0,ABS(INDEX($B$6:$M$17,($Q$3-1-2)*$Q$4+X55+1,0*$Q$5+W55+1))/$Q$19*$Q$13,0)))</f>
        <v>0</v>
      </c>
      <c r="AN55">
        <f>IF(V55=1,0,IF(INDEX($B$6:$M$17,($Q$3-1-2)*$Q$4+X55+1,0*$Q$5+W55+1)="",0,IF(INDEX($B$6:$M$17,($Q$3-1-2)*$Q$4+X55+1,0*$Q$5+W55+1)&lt;0,ABS(INDEX($B$6:$M$17,($Q$3-1-2)*$Q$4+X55+1,0*$Q$5+W55+1))/$Q$19*$Q$13,0)))</f>
        <v>4.7833333333333332E-2</v>
      </c>
      <c r="AO55">
        <f>IF(V55=1,0,IF(INDEX($B$6:$M$17,($Q$3-1-3)*$Q$4+X55+1,0*$Q$5+W55+1)="",0,IF(INDEX($B$6:$M$17,($Q$3-1-3)*$Q$4+X55+1,0*$Q$5+W55+1)&gt;=0,ABS(INDEX($B$6:$M$17,($Q$3-1-3)*$Q$4+X55+1,0*$Q$5+W55+1))/$Q$19*$Q$13,0)))</f>
        <v>0.20499999999999999</v>
      </c>
      <c r="AP55">
        <f>IF(V55=1,0,IF(INDEX($B$6:$M$17,($Q$3-1-3)*$Q$4+X55+1,0*$Q$5+W55+1)="",0,IF(INDEX($B$6:$M$17,($Q$3-1-3)*$Q$4+X55+1,0*$Q$5+W55+1)&lt;0,ABS(INDEX($B$6:$M$17,($Q$3-1-3)*$Q$4+X55+1,0*$Q$5+W55+1))/$Q$19*$Q$13,0)))</f>
        <v>0</v>
      </c>
      <c r="AR55" t="str">
        <f>IF(V55=1,"",IF(INDEX($B$6:$M$17,($Q$3-1-0)*$Q$4+X55+1,0*$Q$5+W55+1)="","",IF(INDEX($B$6:$M$17,($Q$3-1-0)*$Q$4+X55+1,0*$Q$5+W55+1)&gt;=0,TEXT(INDEX($B$6:$M$17,($Q$3-1-0)*$Q$4+X55+1,0*$Q$5+W55+1),"+0;-0;0"),"")))</f>
        <v/>
      </c>
      <c r="AS55" t="str">
        <f>IF(V55=1,"",IF(INDEX($B$6:$M$17,($Q$3-1-0)*$Q$4+X55+1,0*$Q$5+W55+1)="","",IF(INDEX($B$6:$M$17,($Q$3-1-0)*$Q$4+X55+1,0*$Q$5+W55+1)&lt;0,TEXT(INDEX($B$6:$M$17,($Q$3-1-0)*$Q$4+X55+1,0*$Q$5+W55+1),"+0;-0;0"),"")))</f>
        <v>-8</v>
      </c>
      <c r="AT55" t="str">
        <f>IF(V55=1,"",IF(INDEX($B$6:$M$17,($Q$3-1-1)*$Q$4+X55+1,0*$Q$5+W55+1)="","",IF(INDEX($B$6:$M$17,($Q$3-1-1)*$Q$4+X55+1,0*$Q$5+W55+1)&gt;=0,TEXT(INDEX($B$6:$M$17,($Q$3-1-1)*$Q$4+X55+1,0*$Q$5+W55+1),"+0;-0;0"),"")))</f>
        <v>+11</v>
      </c>
      <c r="AU55" t="str">
        <f>IF(V55=1,"",IF(INDEX($B$6:$M$17,($Q$3-1-1)*$Q$4+X55+1,0*$Q$5+W55+1)="","",IF(INDEX($B$6:$M$17,($Q$3-1-1)*$Q$4+X55+1,0*$Q$5+W55+1)&lt;0,TEXT(INDEX($B$6:$M$17,($Q$3-1-1)*$Q$4+X55+1,0*$Q$5+W55+1),"+0;-0;0"),"")))</f>
        <v/>
      </c>
      <c r="AV55" t="str">
        <f>IF(V55=1,"",IF(INDEX($B$6:$M$17,($Q$3-1-2)*$Q$4+X55+1,0*$Q$5+W55+1)="","",IF(INDEX($B$6:$M$17,($Q$3-1-2)*$Q$4+X55+1,0*$Q$5+W55+1)&gt;=0,TEXT(INDEX($B$6:$M$17,($Q$3-1-2)*$Q$4+X55+1,0*$Q$5+W55+1),"+0;-0;0"),"")))</f>
        <v/>
      </c>
      <c r="AW55" t="str">
        <f>IF(V55=1,"",IF(INDEX($B$6:$M$17,($Q$3-1-2)*$Q$4+X55+1,0*$Q$5+W55+1)="","",IF(INDEX($B$6:$M$17,($Q$3-1-2)*$Q$4+X55+1,0*$Q$5+W55+1)&lt;0,TEXT(INDEX($B$6:$M$17,($Q$3-1-2)*$Q$4+X55+1,0*$Q$5+W55+1),"+0;-0;0"),"")))</f>
        <v>-4</v>
      </c>
      <c r="AX55" t="str">
        <f>IF(V55=1,"",IF(INDEX($B$6:$M$17,($Q$3-1-3)*$Q$4+X55+1,0*$Q$5+W55+1)="","",IF(INDEX($B$6:$M$17,($Q$3-1-3)*$Q$4+X55+1,0*$Q$5+W55+1)&gt;=0,TEXT(INDEX($B$6:$M$17,($Q$3-1-3)*$Q$4+X55+1,0*$Q$5+W55+1),"+0;-0;0"),"")))</f>
        <v>+15</v>
      </c>
      <c r="AY55" t="str">
        <f>IF(V55=1,"",IF(INDEX($B$6:$M$17,($Q$3-1-3)*$Q$4+X55+1,0*$Q$5+W55+1)="","",IF(INDEX($B$6:$M$17,($Q$3-1-3)*$Q$4+X55+1,0*$Q$5+W55+1)&lt;0,TEXT(INDEX($B$6:$M$17,($Q$3-1-3)*$Q$4+X55+1,0*$Q$5+W55+1),"+0;-0;0"),"")))</f>
        <v/>
      </c>
      <c r="BG55">
        <v>28.5</v>
      </c>
      <c r="BH55">
        <f>IF(OR($Q$17&gt;0,$Q$18&lt;0),NA(),3+$Q$20)</f>
        <v>3.41</v>
      </c>
    </row>
    <row r="56" spans="16:60" x14ac:dyDescent="0.35">
      <c r="P56">
        <v>33</v>
      </c>
      <c r="Q56">
        <f>P56-$Q$12</f>
        <v>30</v>
      </c>
      <c r="R56">
        <f>IF(Q56&lt;=0,-1,INT((Q56-1)/($Q$10+$Q$11)))</f>
        <v>2</v>
      </c>
      <c r="S56">
        <f>IF(Q56&lt;=0,-1,MOD(Q56-1,($Q$10+$Q$11)))</f>
        <v>3</v>
      </c>
      <c r="T56">
        <f>IF(OR(S56&lt;0,S56&gt;=$Q$10),-1,INT(S56/$Q$9))</f>
        <v>3</v>
      </c>
      <c r="U56">
        <f>IF(OR(S56&lt;0,S56&gt;=$Q$10),-1,MOD(S56,$Q$9))</f>
        <v>0</v>
      </c>
      <c r="V56">
        <f>IF(OR(Q56&lt;=0,S56&lt;0,S56&gt;=$Q$10,R56&gt;=$Q$7),1,0)</f>
        <v>0</v>
      </c>
      <c r="W56">
        <f>IF(V56=1,-1,T56)</f>
        <v>3</v>
      </c>
      <c r="X56">
        <f>IF(V56=1,-1,R56)</f>
        <v>2</v>
      </c>
      <c r="Y56" t="str">
        <f>IF(V56=1,"",IF(AND(MOD(W56,3)=0,U56=INT(($Q$9-1)/2)),INDEX($B$5:$M$5,W56+1),""))</f>
        <v>Apr</v>
      </c>
      <c r="Z56">
        <f>IF(V56=1,NA(),IF(INDEX($B$6:$M$17,($Q$3-1-0)*$Q$4+X56+1,0*$Q$5+W56+1)="",NA(),IF(INDEX($B$6:$M$17,($Q$3-1-0)*$Q$4+X56+1,0*$Q$5+W56+1)&gt;=0,0+(INDEX($B$6:$M$17,($Q$3-1-0)*$Q$4+X56+1,0*$Q$5+W56+1)-$Q$17)/$Q$19*$Q$13,NA())))</f>
        <v>0.50566666666666671</v>
      </c>
      <c r="AA56" t="e">
        <f>IF(V56=1,NA(),IF(INDEX($B$6:$M$17,($Q$3-1-0)*$Q$4+X56+1,0*$Q$5+W56+1)="",NA(),IF(INDEX($B$6:$M$17,($Q$3-1-0)*$Q$4+X56+1,0*$Q$5+W56+1)&lt;0,0+(INDEX($B$6:$M$17,($Q$3-1-0)*$Q$4+X56+1,0*$Q$5+W56+1)-$Q$17)/$Q$19*$Q$13,NA())))</f>
        <v>#N/A</v>
      </c>
      <c r="AB56" t="e">
        <f>IF(V56=1,NA(),IF(INDEX($B$6:$M$17,($Q$3-1-1)*$Q$4+X56+1,0*$Q$5+W56+1)="",NA(),IF(INDEX($B$6:$M$17,($Q$3-1-1)*$Q$4+X56+1,0*$Q$5+W56+1)&gt;=0,1+(INDEX($B$6:$M$17,($Q$3-1-1)*$Q$4+X56+1,0*$Q$5+W56+1)-$Q$17)/$Q$19*$Q$13,NA())))</f>
        <v>#N/A</v>
      </c>
      <c r="AC56">
        <f>IF(V56=1,NA(),IF(INDEX($B$6:$M$17,($Q$3-1-1)*$Q$4+X56+1,0*$Q$5+W56+1)="",NA(),IF(INDEX($B$6:$M$17,($Q$3-1-1)*$Q$4+X56+1,0*$Q$5+W56+1)&lt;0,1+(INDEX($B$6:$M$17,($Q$3-1-1)*$Q$4+X56+1,0*$Q$5+W56+1)-$Q$17)/$Q$19*$Q$13,NA())))</f>
        <v>1.3075000000000001</v>
      </c>
      <c r="AD56" t="e">
        <f>IF(V56=1,NA(),IF(INDEX($B$6:$M$17,($Q$3-1-2)*$Q$4+X56+1,0*$Q$5+W56+1)="",NA(),IF(INDEX($B$6:$M$17,($Q$3-1-2)*$Q$4+X56+1,0*$Q$5+W56+1)&gt;=0,2+(INDEX($B$6:$M$17,($Q$3-1-2)*$Q$4+X56+1,0*$Q$5+W56+1)-$Q$17)/$Q$19*$Q$13,NA())))</f>
        <v>#N/A</v>
      </c>
      <c r="AE56">
        <f>IF(V56=1,NA(),IF(INDEX($B$6:$M$17,($Q$3-1-2)*$Q$4+X56+1,0*$Q$5+W56+1)="",NA(),IF(INDEX($B$6:$M$17,($Q$3-1-2)*$Q$4+X56+1,0*$Q$5+W56+1)&lt;0,2+(INDEX($B$6:$M$17,($Q$3-1-2)*$Q$4+X56+1,0*$Q$5+W56+1)-$Q$17)/$Q$19*$Q$13,NA())))</f>
        <v>2.1161666666666665</v>
      </c>
      <c r="AF56" t="e">
        <f>IF(V56=1,NA(),IF(INDEX($B$6:$M$17,($Q$3-1-3)*$Q$4+X56+1,0*$Q$5+W56+1)="",NA(),IF(INDEX($B$6:$M$17,($Q$3-1-3)*$Q$4+X56+1,0*$Q$5+W56+1)&gt;=0,3+(INDEX($B$6:$M$17,($Q$3-1-3)*$Q$4+X56+1,0*$Q$5+W56+1)-$Q$17)/$Q$19*$Q$13,NA())))</f>
        <v>#N/A</v>
      </c>
      <c r="AG56">
        <f>IF(V56=1,NA(),IF(INDEX($B$6:$M$17,($Q$3-1-3)*$Q$4+X56+1,0*$Q$5+W56+1)="",NA(),IF(INDEX($B$6:$M$17,($Q$3-1-3)*$Q$4+X56+1,0*$Q$5+W56+1)&lt;0,3+(INDEX($B$6:$M$17,($Q$3-1-3)*$Q$4+X56+1,0*$Q$5+W56+1)-$Q$17)/$Q$19*$Q$13,NA())))</f>
        <v>3.3689999999999998</v>
      </c>
      <c r="AI56">
        <f>IF(V56=1,0,IF(INDEX($B$6:$M$17,($Q$3-1-0)*$Q$4+X56+1,0*$Q$5+W56+1)="",0,IF(INDEX($B$6:$M$17,($Q$3-1-0)*$Q$4+X56+1,0*$Q$5+W56+1)&gt;=0,ABS(INDEX($B$6:$M$17,($Q$3-1-0)*$Q$4+X56+1,0*$Q$5+W56+1))/$Q$19*$Q$13,0)))</f>
        <v>9.5666666666666664E-2</v>
      </c>
      <c r="AJ56">
        <f>IF(V56=1,0,IF(INDEX($B$6:$M$17,($Q$3-1-0)*$Q$4+X56+1,0*$Q$5+W56+1)="",0,IF(INDEX($B$6:$M$17,($Q$3-1-0)*$Q$4+X56+1,0*$Q$5+W56+1)&lt;0,ABS(INDEX($B$6:$M$17,($Q$3-1-0)*$Q$4+X56+1,0*$Q$5+W56+1))/$Q$19*$Q$13,0)))</f>
        <v>0</v>
      </c>
      <c r="AK56">
        <f>IF(V56=1,0,IF(INDEX($B$6:$M$17,($Q$3-1-1)*$Q$4+X56+1,0*$Q$5+W56+1)="",0,IF(INDEX($B$6:$M$17,($Q$3-1-1)*$Q$4+X56+1,0*$Q$5+W56+1)&gt;=0,ABS(INDEX($B$6:$M$17,($Q$3-1-1)*$Q$4+X56+1,0*$Q$5+W56+1))/$Q$19*$Q$13,0)))</f>
        <v>0</v>
      </c>
      <c r="AL56">
        <f>IF(V56=1,0,IF(INDEX($B$6:$M$17,($Q$3-1-1)*$Q$4+X56+1,0*$Q$5+W56+1)="",0,IF(INDEX($B$6:$M$17,($Q$3-1-1)*$Q$4+X56+1,0*$Q$5+W56+1)&lt;0,ABS(INDEX($B$6:$M$17,($Q$3-1-1)*$Q$4+X56+1,0*$Q$5+W56+1))/$Q$19*$Q$13,0)))</f>
        <v>0.10249999999999999</v>
      </c>
      <c r="AM56">
        <f>IF(V56=1,0,IF(INDEX($B$6:$M$17,($Q$3-1-2)*$Q$4+X56+1,0*$Q$5+W56+1)="",0,IF(INDEX($B$6:$M$17,($Q$3-1-2)*$Q$4+X56+1,0*$Q$5+W56+1)&gt;=0,ABS(INDEX($B$6:$M$17,($Q$3-1-2)*$Q$4+X56+1,0*$Q$5+W56+1))/$Q$19*$Q$13,0)))</f>
        <v>0</v>
      </c>
      <c r="AN56">
        <f>IF(V56=1,0,IF(INDEX($B$6:$M$17,($Q$3-1-2)*$Q$4+X56+1,0*$Q$5+W56+1)="",0,IF(INDEX($B$6:$M$17,($Q$3-1-2)*$Q$4+X56+1,0*$Q$5+W56+1)&lt;0,ABS(INDEX($B$6:$M$17,($Q$3-1-2)*$Q$4+X56+1,0*$Q$5+W56+1))/$Q$19*$Q$13,0)))</f>
        <v>0.29383333333333334</v>
      </c>
      <c r="AO56">
        <f>IF(V56=1,0,IF(INDEX($B$6:$M$17,($Q$3-1-3)*$Q$4+X56+1,0*$Q$5+W56+1)="",0,IF(INDEX($B$6:$M$17,($Q$3-1-3)*$Q$4+X56+1,0*$Q$5+W56+1)&gt;=0,ABS(INDEX($B$6:$M$17,($Q$3-1-3)*$Q$4+X56+1,0*$Q$5+W56+1))/$Q$19*$Q$13,0)))</f>
        <v>0</v>
      </c>
      <c r="AP56">
        <f>IF(V56=1,0,IF(INDEX($B$6:$M$17,($Q$3-1-3)*$Q$4+X56+1,0*$Q$5+W56+1)="",0,IF(INDEX($B$6:$M$17,($Q$3-1-3)*$Q$4+X56+1,0*$Q$5+W56+1)&lt;0,ABS(INDEX($B$6:$M$17,($Q$3-1-3)*$Q$4+X56+1,0*$Q$5+W56+1))/$Q$19*$Q$13,0)))</f>
        <v>4.1000000000000002E-2</v>
      </c>
      <c r="AR56" t="str">
        <f>IF(V56=1,"",IF(INDEX($B$6:$M$17,($Q$3-1-0)*$Q$4+X56+1,0*$Q$5+W56+1)="","",IF(INDEX($B$6:$M$17,($Q$3-1-0)*$Q$4+X56+1,0*$Q$5+W56+1)&gt;=0,TEXT(INDEX($B$6:$M$17,($Q$3-1-0)*$Q$4+X56+1,0*$Q$5+W56+1),"+0;-0;0"),"")))</f>
        <v>+7</v>
      </c>
      <c r="AS56" t="str">
        <f>IF(V56=1,"",IF(INDEX($B$6:$M$17,($Q$3-1-0)*$Q$4+X56+1,0*$Q$5+W56+1)="","",IF(INDEX($B$6:$M$17,($Q$3-1-0)*$Q$4+X56+1,0*$Q$5+W56+1)&lt;0,TEXT(INDEX($B$6:$M$17,($Q$3-1-0)*$Q$4+X56+1,0*$Q$5+W56+1),"+0;-0;0"),"")))</f>
        <v/>
      </c>
      <c r="AT56" t="str">
        <f>IF(V56=1,"",IF(INDEX($B$6:$M$17,($Q$3-1-1)*$Q$4+X56+1,0*$Q$5+W56+1)="","",IF(INDEX($B$6:$M$17,($Q$3-1-1)*$Q$4+X56+1,0*$Q$5+W56+1)&gt;=0,TEXT(INDEX($B$6:$M$17,($Q$3-1-1)*$Q$4+X56+1,0*$Q$5+W56+1),"+0;-0;0"),"")))</f>
        <v/>
      </c>
      <c r="AU56" t="str">
        <f>IF(V56=1,"",IF(INDEX($B$6:$M$17,($Q$3-1-1)*$Q$4+X56+1,0*$Q$5+W56+1)="","",IF(INDEX($B$6:$M$17,($Q$3-1-1)*$Q$4+X56+1,0*$Q$5+W56+1)&lt;0,TEXT(INDEX($B$6:$M$17,($Q$3-1-1)*$Q$4+X56+1,0*$Q$5+W56+1),"+0;-0;0"),"")))</f>
        <v>-8</v>
      </c>
      <c r="AV56" t="str">
        <f>IF(V56=1,"",IF(INDEX($B$6:$M$17,($Q$3-1-2)*$Q$4+X56+1,0*$Q$5+W56+1)="","",IF(INDEX($B$6:$M$17,($Q$3-1-2)*$Q$4+X56+1,0*$Q$5+W56+1)&gt;=0,TEXT(INDEX($B$6:$M$17,($Q$3-1-2)*$Q$4+X56+1,0*$Q$5+W56+1),"+0;-0;0"),"")))</f>
        <v/>
      </c>
      <c r="AW56" t="str">
        <f>IF(V56=1,"",IF(INDEX($B$6:$M$17,($Q$3-1-2)*$Q$4+X56+1,0*$Q$5+W56+1)="","",IF(INDEX($B$6:$M$17,($Q$3-1-2)*$Q$4+X56+1,0*$Q$5+W56+1)&lt;0,TEXT(INDEX($B$6:$M$17,($Q$3-1-2)*$Q$4+X56+1,0*$Q$5+W56+1),"+0;-0;0"),"")))</f>
        <v>-22</v>
      </c>
      <c r="AX56" t="str">
        <f>IF(V56=1,"",IF(INDEX($B$6:$M$17,($Q$3-1-3)*$Q$4+X56+1,0*$Q$5+W56+1)="","",IF(INDEX($B$6:$M$17,($Q$3-1-3)*$Q$4+X56+1,0*$Q$5+W56+1)&gt;=0,TEXT(INDEX($B$6:$M$17,($Q$3-1-3)*$Q$4+X56+1,0*$Q$5+W56+1),"+0;-0;0"),"")))</f>
        <v/>
      </c>
      <c r="AY56" t="str">
        <f>IF(V56=1,"",IF(INDEX($B$6:$M$17,($Q$3-1-3)*$Q$4+X56+1,0*$Q$5+W56+1)="","",IF(INDEX($B$6:$M$17,($Q$3-1-3)*$Q$4+X56+1,0*$Q$5+W56+1)&lt;0,TEXT(INDEX($B$6:$M$17,($Q$3-1-3)*$Q$4+X56+1,0*$Q$5+W56+1),"+0;-0;0"),"")))</f>
        <v>-3</v>
      </c>
      <c r="BG56">
        <v>28.5</v>
      </c>
      <c r="BH56" t="e">
        <f>NA()</f>
        <v>#N/A</v>
      </c>
    </row>
    <row r="57" spans="16:60" x14ac:dyDescent="0.35">
      <c r="P57">
        <v>34</v>
      </c>
      <c r="Q57">
        <f>P57-$Q$12</f>
        <v>31</v>
      </c>
      <c r="R57">
        <f>IF(Q57&lt;=0,-1,INT((Q57-1)/($Q$10+$Q$11)))</f>
        <v>2</v>
      </c>
      <c r="S57">
        <f>IF(Q57&lt;=0,-1,MOD(Q57-1,($Q$10+$Q$11)))</f>
        <v>4</v>
      </c>
      <c r="T57">
        <f>IF(OR(S57&lt;0,S57&gt;=$Q$10),-1,INT(S57/$Q$9))</f>
        <v>4</v>
      </c>
      <c r="U57">
        <f>IF(OR(S57&lt;0,S57&gt;=$Q$10),-1,MOD(S57,$Q$9))</f>
        <v>0</v>
      </c>
      <c r="V57">
        <f>IF(OR(Q57&lt;=0,S57&lt;0,S57&gt;=$Q$10,R57&gt;=$Q$7),1,0)</f>
        <v>0</v>
      </c>
      <c r="W57">
        <f>IF(V57=1,-1,T57)</f>
        <v>4</v>
      </c>
      <c r="X57">
        <f>IF(V57=1,-1,R57)</f>
        <v>2</v>
      </c>
      <c r="Y57" t="str">
        <f>IF(V57=1,"",IF(AND(MOD(W57,3)=0,U57=INT(($Q$9-1)/2)),INDEX($B$5:$M$5,W57+1),""))</f>
        <v/>
      </c>
      <c r="Z57" t="e">
        <f>IF(V57=1,NA(),IF(INDEX($B$6:$M$17,($Q$3-1-0)*$Q$4+X57+1,0*$Q$5+W57+1)="",NA(),IF(INDEX($B$6:$M$17,($Q$3-1-0)*$Q$4+X57+1,0*$Q$5+W57+1)&gt;=0,0+(INDEX($B$6:$M$17,($Q$3-1-0)*$Q$4+X57+1,0*$Q$5+W57+1)-$Q$17)/$Q$19*$Q$13,NA())))</f>
        <v>#N/A</v>
      </c>
      <c r="AA57">
        <f>IF(V57=1,NA(),IF(INDEX($B$6:$M$17,($Q$3-1-0)*$Q$4+X57+1,0*$Q$5+W57+1)="",NA(),IF(INDEX($B$6:$M$17,($Q$3-1-0)*$Q$4+X57+1,0*$Q$5+W57+1)&lt;0,0+(INDEX($B$6:$M$17,($Q$3-1-0)*$Q$4+X57+1,0*$Q$5+W57+1)-$Q$17)/$Q$19*$Q$13,NA())))</f>
        <v>0.25966666666666666</v>
      </c>
      <c r="AB57">
        <f>IF(V57=1,NA(),IF(INDEX($B$6:$M$17,($Q$3-1-1)*$Q$4+X57+1,0*$Q$5+W57+1)="",NA(),IF(INDEX($B$6:$M$17,($Q$3-1-1)*$Q$4+X57+1,0*$Q$5+W57+1)&gt;=0,1+(INDEX($B$6:$M$17,($Q$3-1-1)*$Q$4+X57+1,0*$Q$5+W57+1)-$Q$17)/$Q$19*$Q$13,NA())))</f>
        <v>1.5125</v>
      </c>
      <c r="AC57" t="e">
        <f>IF(V57=1,NA(),IF(INDEX($B$6:$M$17,($Q$3-1-1)*$Q$4+X57+1,0*$Q$5+W57+1)="",NA(),IF(INDEX($B$6:$M$17,($Q$3-1-1)*$Q$4+X57+1,0*$Q$5+W57+1)&lt;0,1+(INDEX($B$6:$M$17,($Q$3-1-1)*$Q$4+X57+1,0*$Q$5+W57+1)-$Q$17)/$Q$19*$Q$13,NA())))</f>
        <v>#N/A</v>
      </c>
      <c r="AD57" t="e">
        <f>IF(V57=1,NA(),IF(INDEX($B$6:$M$17,($Q$3-1-2)*$Q$4+X57+1,0*$Q$5+W57+1)="",NA(),IF(INDEX($B$6:$M$17,($Q$3-1-2)*$Q$4+X57+1,0*$Q$5+W57+1)&gt;=0,2+(INDEX($B$6:$M$17,($Q$3-1-2)*$Q$4+X57+1,0*$Q$5+W57+1)-$Q$17)/$Q$19*$Q$13,NA())))</f>
        <v>#N/A</v>
      </c>
      <c r="AE57">
        <f>IF(V57=1,NA(),IF(INDEX($B$6:$M$17,($Q$3-1-2)*$Q$4+X57+1,0*$Q$5+W57+1)="",NA(),IF(INDEX($B$6:$M$17,($Q$3-1-2)*$Q$4+X57+1,0*$Q$5+W57+1)&lt;0,2+(INDEX($B$6:$M$17,($Q$3-1-2)*$Q$4+X57+1,0*$Q$5+W57+1)-$Q$17)/$Q$19*$Q$13,NA())))</f>
        <v>2.3211666666666666</v>
      </c>
      <c r="AF57">
        <f>IF(V57=1,NA(),IF(INDEX($B$6:$M$17,($Q$3-1-3)*$Q$4+X57+1,0*$Q$5+W57+1)="",NA(),IF(INDEX($B$6:$M$17,($Q$3-1-3)*$Q$4+X57+1,0*$Q$5+W57+1)&gt;=0,3+(INDEX($B$6:$M$17,($Q$3-1-3)*$Q$4+X57+1,0*$Q$5+W57+1)-$Q$17)/$Q$19*$Q$13,NA())))</f>
        <v>3.5739999999999998</v>
      </c>
      <c r="AG57" t="e">
        <f>IF(V57=1,NA(),IF(INDEX($B$6:$M$17,($Q$3-1-3)*$Q$4+X57+1,0*$Q$5+W57+1)="",NA(),IF(INDEX($B$6:$M$17,($Q$3-1-3)*$Q$4+X57+1,0*$Q$5+W57+1)&lt;0,3+(INDEX($B$6:$M$17,($Q$3-1-3)*$Q$4+X57+1,0*$Q$5+W57+1)-$Q$17)/$Q$19*$Q$13,NA())))</f>
        <v>#N/A</v>
      </c>
      <c r="AI57">
        <f>IF(V57=1,0,IF(INDEX($B$6:$M$17,($Q$3-1-0)*$Q$4+X57+1,0*$Q$5+W57+1)="",0,IF(INDEX($B$6:$M$17,($Q$3-1-0)*$Q$4+X57+1,0*$Q$5+W57+1)&gt;=0,ABS(INDEX($B$6:$M$17,($Q$3-1-0)*$Q$4+X57+1,0*$Q$5+W57+1))/$Q$19*$Q$13,0)))</f>
        <v>0</v>
      </c>
      <c r="AJ57">
        <f>IF(V57=1,0,IF(INDEX($B$6:$M$17,($Q$3-1-0)*$Q$4+X57+1,0*$Q$5+W57+1)="",0,IF(INDEX($B$6:$M$17,($Q$3-1-0)*$Q$4+X57+1,0*$Q$5+W57+1)&lt;0,ABS(INDEX($B$6:$M$17,($Q$3-1-0)*$Q$4+X57+1,0*$Q$5+W57+1))/$Q$19*$Q$13,0)))</f>
        <v>0.15033333333333332</v>
      </c>
      <c r="AK57">
        <f>IF(V57=1,0,IF(INDEX($B$6:$M$17,($Q$3-1-1)*$Q$4+X57+1,0*$Q$5+W57+1)="",0,IF(INDEX($B$6:$M$17,($Q$3-1-1)*$Q$4+X57+1,0*$Q$5+W57+1)&gt;=0,ABS(INDEX($B$6:$M$17,($Q$3-1-1)*$Q$4+X57+1,0*$Q$5+W57+1))/$Q$19*$Q$13,0)))</f>
        <v>0.10249999999999999</v>
      </c>
      <c r="AL57">
        <f>IF(V57=1,0,IF(INDEX($B$6:$M$17,($Q$3-1-1)*$Q$4+X57+1,0*$Q$5+W57+1)="",0,IF(INDEX($B$6:$M$17,($Q$3-1-1)*$Q$4+X57+1,0*$Q$5+W57+1)&lt;0,ABS(INDEX($B$6:$M$17,($Q$3-1-1)*$Q$4+X57+1,0*$Q$5+W57+1))/$Q$19*$Q$13,0)))</f>
        <v>0</v>
      </c>
      <c r="AM57">
        <f>IF(V57=1,0,IF(INDEX($B$6:$M$17,($Q$3-1-2)*$Q$4+X57+1,0*$Q$5+W57+1)="",0,IF(INDEX($B$6:$M$17,($Q$3-1-2)*$Q$4+X57+1,0*$Q$5+W57+1)&gt;=0,ABS(INDEX($B$6:$M$17,($Q$3-1-2)*$Q$4+X57+1,0*$Q$5+W57+1))/$Q$19*$Q$13,0)))</f>
        <v>0</v>
      </c>
      <c r="AN57">
        <f>IF(V57=1,0,IF(INDEX($B$6:$M$17,($Q$3-1-2)*$Q$4+X57+1,0*$Q$5+W57+1)="",0,IF(INDEX($B$6:$M$17,($Q$3-1-2)*$Q$4+X57+1,0*$Q$5+W57+1)&lt;0,ABS(INDEX($B$6:$M$17,($Q$3-1-2)*$Q$4+X57+1,0*$Q$5+W57+1))/$Q$19*$Q$13,0)))</f>
        <v>8.8833333333333334E-2</v>
      </c>
      <c r="AO57">
        <f>IF(V57=1,0,IF(INDEX($B$6:$M$17,($Q$3-1-3)*$Q$4+X57+1,0*$Q$5+W57+1)="",0,IF(INDEX($B$6:$M$17,($Q$3-1-3)*$Q$4+X57+1,0*$Q$5+W57+1)&gt;=0,ABS(INDEX($B$6:$M$17,($Q$3-1-3)*$Q$4+X57+1,0*$Q$5+W57+1))/$Q$19*$Q$13,0)))</f>
        <v>0.16400000000000001</v>
      </c>
      <c r="AP57">
        <f>IF(V57=1,0,IF(INDEX($B$6:$M$17,($Q$3-1-3)*$Q$4+X57+1,0*$Q$5+W57+1)="",0,IF(INDEX($B$6:$M$17,($Q$3-1-3)*$Q$4+X57+1,0*$Q$5+W57+1)&lt;0,ABS(INDEX($B$6:$M$17,($Q$3-1-3)*$Q$4+X57+1,0*$Q$5+W57+1))/$Q$19*$Q$13,0)))</f>
        <v>0</v>
      </c>
      <c r="AR57" t="str">
        <f>IF(V57=1,"",IF(INDEX($B$6:$M$17,($Q$3-1-0)*$Q$4+X57+1,0*$Q$5+W57+1)="","",IF(INDEX($B$6:$M$17,($Q$3-1-0)*$Q$4+X57+1,0*$Q$5+W57+1)&gt;=0,TEXT(INDEX($B$6:$M$17,($Q$3-1-0)*$Q$4+X57+1,0*$Q$5+W57+1),"+0;-0;0"),"")))</f>
        <v/>
      </c>
      <c r="AS57" t="str">
        <f>IF(V57=1,"",IF(INDEX($B$6:$M$17,($Q$3-1-0)*$Q$4+X57+1,0*$Q$5+W57+1)="","",IF(INDEX($B$6:$M$17,($Q$3-1-0)*$Q$4+X57+1,0*$Q$5+W57+1)&lt;0,TEXT(INDEX($B$6:$M$17,($Q$3-1-0)*$Q$4+X57+1,0*$Q$5+W57+1),"+0;-0;0"),"")))</f>
        <v>-11</v>
      </c>
      <c r="AT57" t="str">
        <f>IF(V57=1,"",IF(INDEX($B$6:$M$17,($Q$3-1-1)*$Q$4+X57+1,0*$Q$5+W57+1)="","",IF(INDEX($B$6:$M$17,($Q$3-1-1)*$Q$4+X57+1,0*$Q$5+W57+1)&gt;=0,TEXT(INDEX($B$6:$M$17,($Q$3-1-1)*$Q$4+X57+1,0*$Q$5+W57+1),"+0;-0;0"),"")))</f>
        <v>+8</v>
      </c>
      <c r="AU57" t="str">
        <f>IF(V57=1,"",IF(INDEX($B$6:$M$17,($Q$3-1-1)*$Q$4+X57+1,0*$Q$5+W57+1)="","",IF(INDEX($B$6:$M$17,($Q$3-1-1)*$Q$4+X57+1,0*$Q$5+W57+1)&lt;0,TEXT(INDEX($B$6:$M$17,($Q$3-1-1)*$Q$4+X57+1,0*$Q$5+W57+1),"+0;-0;0"),"")))</f>
        <v/>
      </c>
      <c r="AV57" t="str">
        <f>IF(V57=1,"",IF(INDEX($B$6:$M$17,($Q$3-1-2)*$Q$4+X57+1,0*$Q$5+W57+1)="","",IF(INDEX($B$6:$M$17,($Q$3-1-2)*$Q$4+X57+1,0*$Q$5+W57+1)&gt;=0,TEXT(INDEX($B$6:$M$17,($Q$3-1-2)*$Q$4+X57+1,0*$Q$5+W57+1),"+0;-0;0"),"")))</f>
        <v/>
      </c>
      <c r="AW57" t="str">
        <f>IF(V57=1,"",IF(INDEX($B$6:$M$17,($Q$3-1-2)*$Q$4+X57+1,0*$Q$5+W57+1)="","",IF(INDEX($B$6:$M$17,($Q$3-1-2)*$Q$4+X57+1,0*$Q$5+W57+1)&lt;0,TEXT(INDEX($B$6:$M$17,($Q$3-1-2)*$Q$4+X57+1,0*$Q$5+W57+1),"+0;-0;0"),"")))</f>
        <v>-7</v>
      </c>
      <c r="AX57" t="str">
        <f>IF(V57=1,"",IF(INDEX($B$6:$M$17,($Q$3-1-3)*$Q$4+X57+1,0*$Q$5+W57+1)="","",IF(INDEX($B$6:$M$17,($Q$3-1-3)*$Q$4+X57+1,0*$Q$5+W57+1)&gt;=0,TEXT(INDEX($B$6:$M$17,($Q$3-1-3)*$Q$4+X57+1,0*$Q$5+W57+1),"+0;-0;0"),"")))</f>
        <v>+12</v>
      </c>
      <c r="AY57" t="str">
        <f>IF(V57=1,"",IF(INDEX($B$6:$M$17,($Q$3-1-3)*$Q$4+X57+1,0*$Q$5+W57+1)="","",IF(INDEX($B$6:$M$17,($Q$3-1-3)*$Q$4+X57+1,0*$Q$5+W57+1)&lt;0,TEXT(INDEX($B$6:$M$17,($Q$3-1-3)*$Q$4+X57+1,0*$Q$5+W57+1),"+0;-0;0"),"")))</f>
        <v/>
      </c>
      <c r="BG57">
        <v>29.5</v>
      </c>
      <c r="BH57">
        <f>IF(OR($Q$17&gt;0,$Q$18&lt;0),NA(),3+$Q$20)</f>
        <v>3.41</v>
      </c>
    </row>
    <row r="58" spans="16:60" x14ac:dyDescent="0.35">
      <c r="P58">
        <v>35</v>
      </c>
      <c r="Q58">
        <f>P58-$Q$12</f>
        <v>32</v>
      </c>
      <c r="R58">
        <f>IF(Q58&lt;=0,-1,INT((Q58-1)/($Q$10+$Q$11)))</f>
        <v>2</v>
      </c>
      <c r="S58">
        <f>IF(Q58&lt;=0,-1,MOD(Q58-1,($Q$10+$Q$11)))</f>
        <v>5</v>
      </c>
      <c r="T58">
        <f>IF(OR(S58&lt;0,S58&gt;=$Q$10),-1,INT(S58/$Q$9))</f>
        <v>5</v>
      </c>
      <c r="U58">
        <f>IF(OR(S58&lt;0,S58&gt;=$Q$10),-1,MOD(S58,$Q$9))</f>
        <v>0</v>
      </c>
      <c r="V58">
        <f>IF(OR(Q58&lt;=0,S58&lt;0,S58&gt;=$Q$10,R58&gt;=$Q$7),1,0)</f>
        <v>0</v>
      </c>
      <c r="W58">
        <f>IF(V58=1,-1,T58)</f>
        <v>5</v>
      </c>
      <c r="X58">
        <f>IF(V58=1,-1,R58)</f>
        <v>2</v>
      </c>
      <c r="Y58" t="str">
        <f>IF(V58=1,"",IF(AND(MOD(W58,3)=0,U58=INT(($Q$9-1)/2)),INDEX($B$5:$M$5,W58+1),""))</f>
        <v/>
      </c>
      <c r="Z58">
        <f>IF(V58=1,NA(),IF(INDEX($B$6:$M$17,($Q$3-1-0)*$Q$4+X58+1,0*$Q$5+W58+1)="",NA(),IF(INDEX($B$6:$M$17,($Q$3-1-0)*$Q$4+X58+1,0*$Q$5+W58+1)&gt;=0,0+(INDEX($B$6:$M$17,($Q$3-1-0)*$Q$4+X58+1,0*$Q$5+W58+1)-$Q$17)/$Q$19*$Q$13,NA())))</f>
        <v>0.46466666666666662</v>
      </c>
      <c r="AA58" t="e">
        <f>IF(V58=1,NA(),IF(INDEX($B$6:$M$17,($Q$3-1-0)*$Q$4+X58+1,0*$Q$5+W58+1)="",NA(),IF(INDEX($B$6:$M$17,($Q$3-1-0)*$Q$4+X58+1,0*$Q$5+W58+1)&lt;0,0+(INDEX($B$6:$M$17,($Q$3-1-0)*$Q$4+X58+1,0*$Q$5+W58+1)-$Q$17)/$Q$19*$Q$13,NA())))</f>
        <v>#N/A</v>
      </c>
      <c r="AB58">
        <f>IF(V58=1,NA(),IF(INDEX($B$6:$M$17,($Q$3-1-1)*$Q$4+X58+1,0*$Q$5+W58+1)="",NA(),IF(INDEX($B$6:$M$17,($Q$3-1-1)*$Q$4+X58+1,0*$Q$5+W58+1)&gt;=0,1+(INDEX($B$6:$M$17,($Q$3-1-1)*$Q$4+X58+1,0*$Q$5+W58+1)-$Q$17)/$Q$19*$Q$13,NA())))</f>
        <v>1.7174999999999998</v>
      </c>
      <c r="AC58" t="e">
        <f>IF(V58=1,NA(),IF(INDEX($B$6:$M$17,($Q$3-1-1)*$Q$4+X58+1,0*$Q$5+W58+1)="",NA(),IF(INDEX($B$6:$M$17,($Q$3-1-1)*$Q$4+X58+1,0*$Q$5+W58+1)&lt;0,1+(INDEX($B$6:$M$17,($Q$3-1-1)*$Q$4+X58+1,0*$Q$5+W58+1)-$Q$17)/$Q$19*$Q$13,NA())))</f>
        <v>#N/A</v>
      </c>
      <c r="AD58" t="e">
        <f>IF(V58=1,NA(),IF(INDEX($B$6:$M$17,($Q$3-1-2)*$Q$4+X58+1,0*$Q$5+W58+1)="",NA(),IF(INDEX($B$6:$M$17,($Q$3-1-2)*$Q$4+X58+1,0*$Q$5+W58+1)&gt;=0,2+(INDEX($B$6:$M$17,($Q$3-1-2)*$Q$4+X58+1,0*$Q$5+W58+1)-$Q$17)/$Q$19*$Q$13,NA())))</f>
        <v>#N/A</v>
      </c>
      <c r="AE58">
        <f>IF(V58=1,NA(),IF(INDEX($B$6:$M$17,($Q$3-1-2)*$Q$4+X58+1,0*$Q$5+W58+1)="",NA(),IF(INDEX($B$6:$M$17,($Q$3-1-2)*$Q$4+X58+1,0*$Q$5+W58+1)&lt;0,2+(INDEX($B$6:$M$17,($Q$3-1-2)*$Q$4+X58+1,0*$Q$5+W58+1)-$Q$17)/$Q$19*$Q$13,NA())))</f>
        <v>2.0751666666666666</v>
      </c>
      <c r="AF58" t="e">
        <f>IF(V58=1,NA(),IF(INDEX($B$6:$M$17,($Q$3-1-3)*$Q$4+X58+1,0*$Q$5+W58+1)="",NA(),IF(INDEX($B$6:$M$17,($Q$3-1-3)*$Q$4+X58+1,0*$Q$5+W58+1)&gt;=0,3+(INDEX($B$6:$M$17,($Q$3-1-3)*$Q$4+X58+1,0*$Q$5+W58+1)-$Q$17)/$Q$19*$Q$13,NA())))</f>
        <v>#N/A</v>
      </c>
      <c r="AG58">
        <f>IF(V58=1,NA(),IF(INDEX($B$6:$M$17,($Q$3-1-3)*$Q$4+X58+1,0*$Q$5+W58+1)="",NA(),IF(INDEX($B$6:$M$17,($Q$3-1-3)*$Q$4+X58+1,0*$Q$5+W58+1)&lt;0,3+(INDEX($B$6:$M$17,($Q$3-1-3)*$Q$4+X58+1,0*$Q$5+W58+1)-$Q$17)/$Q$19*$Q$13,NA())))</f>
        <v>3.3279999999999998</v>
      </c>
      <c r="AI58">
        <f>IF(V58=1,0,IF(INDEX($B$6:$M$17,($Q$3-1-0)*$Q$4+X58+1,0*$Q$5+W58+1)="",0,IF(INDEX($B$6:$M$17,($Q$3-1-0)*$Q$4+X58+1,0*$Q$5+W58+1)&gt;=0,ABS(INDEX($B$6:$M$17,($Q$3-1-0)*$Q$4+X58+1,0*$Q$5+W58+1))/$Q$19*$Q$13,0)))</f>
        <v>5.4666666666666662E-2</v>
      </c>
      <c r="AJ58">
        <f>IF(V58=1,0,IF(INDEX($B$6:$M$17,($Q$3-1-0)*$Q$4+X58+1,0*$Q$5+W58+1)="",0,IF(INDEX($B$6:$M$17,($Q$3-1-0)*$Q$4+X58+1,0*$Q$5+W58+1)&lt;0,ABS(INDEX($B$6:$M$17,($Q$3-1-0)*$Q$4+X58+1,0*$Q$5+W58+1))/$Q$19*$Q$13,0)))</f>
        <v>0</v>
      </c>
      <c r="AK58">
        <f>IF(V58=1,0,IF(INDEX($B$6:$M$17,($Q$3-1-1)*$Q$4+X58+1,0*$Q$5+W58+1)="",0,IF(INDEX($B$6:$M$17,($Q$3-1-1)*$Q$4+X58+1,0*$Q$5+W58+1)&gt;=0,ABS(INDEX($B$6:$M$17,($Q$3-1-1)*$Q$4+X58+1,0*$Q$5+W58+1))/$Q$19*$Q$13,0)))</f>
        <v>0.3075</v>
      </c>
      <c r="AL58">
        <f>IF(V58=1,0,IF(INDEX($B$6:$M$17,($Q$3-1-1)*$Q$4+X58+1,0*$Q$5+W58+1)="",0,IF(INDEX($B$6:$M$17,($Q$3-1-1)*$Q$4+X58+1,0*$Q$5+W58+1)&lt;0,ABS(INDEX($B$6:$M$17,($Q$3-1-1)*$Q$4+X58+1,0*$Q$5+W58+1))/$Q$19*$Q$13,0)))</f>
        <v>0</v>
      </c>
      <c r="AM58">
        <f>IF(V58=1,0,IF(INDEX($B$6:$M$17,($Q$3-1-2)*$Q$4+X58+1,0*$Q$5+W58+1)="",0,IF(INDEX($B$6:$M$17,($Q$3-1-2)*$Q$4+X58+1,0*$Q$5+W58+1)&gt;=0,ABS(INDEX($B$6:$M$17,($Q$3-1-2)*$Q$4+X58+1,0*$Q$5+W58+1))/$Q$19*$Q$13,0)))</f>
        <v>0</v>
      </c>
      <c r="AN58">
        <f>IF(V58=1,0,IF(INDEX($B$6:$M$17,($Q$3-1-2)*$Q$4+X58+1,0*$Q$5+W58+1)="",0,IF(INDEX($B$6:$M$17,($Q$3-1-2)*$Q$4+X58+1,0*$Q$5+W58+1)&lt;0,ABS(INDEX($B$6:$M$17,($Q$3-1-2)*$Q$4+X58+1,0*$Q$5+W58+1))/$Q$19*$Q$13,0)))</f>
        <v>0.33483333333333332</v>
      </c>
      <c r="AO58">
        <f>IF(V58=1,0,IF(INDEX($B$6:$M$17,($Q$3-1-3)*$Q$4+X58+1,0*$Q$5+W58+1)="",0,IF(INDEX($B$6:$M$17,($Q$3-1-3)*$Q$4+X58+1,0*$Q$5+W58+1)&gt;=0,ABS(INDEX($B$6:$M$17,($Q$3-1-3)*$Q$4+X58+1,0*$Q$5+W58+1))/$Q$19*$Q$13,0)))</f>
        <v>0</v>
      </c>
      <c r="AP58">
        <f>IF(V58=1,0,IF(INDEX($B$6:$M$17,($Q$3-1-3)*$Q$4+X58+1,0*$Q$5+W58+1)="",0,IF(INDEX($B$6:$M$17,($Q$3-1-3)*$Q$4+X58+1,0*$Q$5+W58+1)&lt;0,ABS(INDEX($B$6:$M$17,($Q$3-1-3)*$Q$4+X58+1,0*$Q$5+W58+1))/$Q$19*$Q$13,0)))</f>
        <v>8.2000000000000003E-2</v>
      </c>
      <c r="AR58" t="str">
        <f>IF(V58=1,"",IF(INDEX($B$6:$M$17,($Q$3-1-0)*$Q$4+X58+1,0*$Q$5+W58+1)="","",IF(INDEX($B$6:$M$17,($Q$3-1-0)*$Q$4+X58+1,0*$Q$5+W58+1)&gt;=0,TEXT(INDEX($B$6:$M$17,($Q$3-1-0)*$Q$4+X58+1,0*$Q$5+W58+1),"+0;-0;0"),"")))</f>
        <v>+4</v>
      </c>
      <c r="AS58" t="str">
        <f>IF(V58=1,"",IF(INDEX($B$6:$M$17,($Q$3-1-0)*$Q$4+X58+1,0*$Q$5+W58+1)="","",IF(INDEX($B$6:$M$17,($Q$3-1-0)*$Q$4+X58+1,0*$Q$5+W58+1)&lt;0,TEXT(INDEX($B$6:$M$17,($Q$3-1-0)*$Q$4+X58+1,0*$Q$5+W58+1),"+0;-0;0"),"")))</f>
        <v/>
      </c>
      <c r="AT58" t="str">
        <f>IF(V58=1,"",IF(INDEX($B$6:$M$17,($Q$3-1-1)*$Q$4+X58+1,0*$Q$5+W58+1)="","",IF(INDEX($B$6:$M$17,($Q$3-1-1)*$Q$4+X58+1,0*$Q$5+W58+1)&gt;=0,TEXT(INDEX($B$6:$M$17,($Q$3-1-1)*$Q$4+X58+1,0*$Q$5+W58+1),"+0;-0;0"),"")))</f>
        <v>+23</v>
      </c>
      <c r="AU58" t="str">
        <f>IF(V58=1,"",IF(INDEX($B$6:$M$17,($Q$3-1-1)*$Q$4+X58+1,0*$Q$5+W58+1)="","",IF(INDEX($B$6:$M$17,($Q$3-1-1)*$Q$4+X58+1,0*$Q$5+W58+1)&lt;0,TEXT(INDEX($B$6:$M$17,($Q$3-1-1)*$Q$4+X58+1,0*$Q$5+W58+1),"+0;-0;0"),"")))</f>
        <v/>
      </c>
      <c r="AV58" t="str">
        <f>IF(V58=1,"",IF(INDEX($B$6:$M$17,($Q$3-1-2)*$Q$4+X58+1,0*$Q$5+W58+1)="","",IF(INDEX($B$6:$M$17,($Q$3-1-2)*$Q$4+X58+1,0*$Q$5+W58+1)&gt;=0,TEXT(INDEX($B$6:$M$17,($Q$3-1-2)*$Q$4+X58+1,0*$Q$5+W58+1),"+0;-0;0"),"")))</f>
        <v/>
      </c>
      <c r="AW58" t="str">
        <f>IF(V58=1,"",IF(INDEX($B$6:$M$17,($Q$3-1-2)*$Q$4+X58+1,0*$Q$5+W58+1)="","",IF(INDEX($B$6:$M$17,($Q$3-1-2)*$Q$4+X58+1,0*$Q$5+W58+1)&lt;0,TEXT(INDEX($B$6:$M$17,($Q$3-1-2)*$Q$4+X58+1,0*$Q$5+W58+1),"+0;-0;0"),"")))</f>
        <v>-25</v>
      </c>
      <c r="AX58" t="str">
        <f>IF(V58=1,"",IF(INDEX($B$6:$M$17,($Q$3-1-3)*$Q$4+X58+1,0*$Q$5+W58+1)="","",IF(INDEX($B$6:$M$17,($Q$3-1-3)*$Q$4+X58+1,0*$Q$5+W58+1)&gt;=0,TEXT(INDEX($B$6:$M$17,($Q$3-1-3)*$Q$4+X58+1,0*$Q$5+W58+1),"+0;-0;0"),"")))</f>
        <v/>
      </c>
      <c r="AY58" t="str">
        <f>IF(V58=1,"",IF(INDEX($B$6:$M$17,($Q$3-1-3)*$Q$4+X58+1,0*$Q$5+W58+1)="","",IF(INDEX($B$6:$M$17,($Q$3-1-3)*$Q$4+X58+1,0*$Q$5+W58+1)&lt;0,TEXT(INDEX($B$6:$M$17,($Q$3-1-3)*$Q$4+X58+1,0*$Q$5+W58+1),"+0;-0;0"),"")))</f>
        <v>-6</v>
      </c>
      <c r="BG58">
        <v>41.5</v>
      </c>
      <c r="BH58">
        <f>IF(OR($Q$17&gt;0,$Q$18&lt;0),NA(),3+$Q$20)</f>
        <v>3.41</v>
      </c>
    </row>
    <row r="59" spans="16:60" x14ac:dyDescent="0.35">
      <c r="P59">
        <v>36</v>
      </c>
      <c r="Q59">
        <f>P59-$Q$12</f>
        <v>33</v>
      </c>
      <c r="R59">
        <f>IF(Q59&lt;=0,-1,INT((Q59-1)/($Q$10+$Q$11)))</f>
        <v>2</v>
      </c>
      <c r="S59">
        <f>IF(Q59&lt;=0,-1,MOD(Q59-1,($Q$10+$Q$11)))</f>
        <v>6</v>
      </c>
      <c r="T59">
        <f>IF(OR(S59&lt;0,S59&gt;=$Q$10),-1,INT(S59/$Q$9))</f>
        <v>6</v>
      </c>
      <c r="U59">
        <f>IF(OR(S59&lt;0,S59&gt;=$Q$10),-1,MOD(S59,$Q$9))</f>
        <v>0</v>
      </c>
      <c r="V59">
        <f>IF(OR(Q59&lt;=0,S59&lt;0,S59&gt;=$Q$10,R59&gt;=$Q$7),1,0)</f>
        <v>0</v>
      </c>
      <c r="W59">
        <f>IF(V59=1,-1,T59)</f>
        <v>6</v>
      </c>
      <c r="X59">
        <f>IF(V59=1,-1,R59)</f>
        <v>2</v>
      </c>
      <c r="Y59" t="str">
        <f>IF(V59=1,"",IF(AND(MOD(W59,3)=0,U59=INT(($Q$9-1)/2)),INDEX($B$5:$M$5,W59+1),""))</f>
        <v>Jul</v>
      </c>
      <c r="Z59" t="e">
        <f>IF(V59=1,NA(),IF(INDEX($B$6:$M$17,($Q$3-1-0)*$Q$4+X59+1,0*$Q$5+W59+1)="",NA(),IF(INDEX($B$6:$M$17,($Q$3-1-0)*$Q$4+X59+1,0*$Q$5+W59+1)&gt;=0,0+(INDEX($B$6:$M$17,($Q$3-1-0)*$Q$4+X59+1,0*$Q$5+W59+1)-$Q$17)/$Q$19*$Q$13,NA())))</f>
        <v>#N/A</v>
      </c>
      <c r="AA59">
        <f>IF(V59=1,NA(),IF(INDEX($B$6:$M$17,($Q$3-1-0)*$Q$4+X59+1,0*$Q$5+W59+1)="",NA(),IF(INDEX($B$6:$M$17,($Q$3-1-0)*$Q$4+X59+1,0*$Q$5+W59+1)&lt;0,0+(INDEX($B$6:$M$17,($Q$3-1-0)*$Q$4+X59+1,0*$Q$5+W59+1)-$Q$17)/$Q$19*$Q$13,NA())))</f>
        <v>0.21866666666666665</v>
      </c>
      <c r="AB59">
        <f>IF(V59=1,NA(),IF(INDEX($B$6:$M$17,($Q$3-1-1)*$Q$4+X59+1,0*$Q$5+W59+1)="",NA(),IF(INDEX($B$6:$M$17,($Q$3-1-1)*$Q$4+X59+1,0*$Q$5+W59+1)&gt;=0,1+(INDEX($B$6:$M$17,($Q$3-1-1)*$Q$4+X59+1,0*$Q$5+W59+1)-$Q$17)/$Q$19*$Q$13,NA())))</f>
        <v>1.4714999999999998</v>
      </c>
      <c r="AC59" t="e">
        <f>IF(V59=1,NA(),IF(INDEX($B$6:$M$17,($Q$3-1-1)*$Q$4+X59+1,0*$Q$5+W59+1)="",NA(),IF(INDEX($B$6:$M$17,($Q$3-1-1)*$Q$4+X59+1,0*$Q$5+W59+1)&lt;0,1+(INDEX($B$6:$M$17,($Q$3-1-1)*$Q$4+X59+1,0*$Q$5+W59+1)-$Q$17)/$Q$19*$Q$13,NA())))</f>
        <v>#N/A</v>
      </c>
      <c r="AD59" t="e">
        <f>IF(V59=1,NA(),IF(INDEX($B$6:$M$17,($Q$3-1-2)*$Q$4+X59+1,0*$Q$5+W59+1)="",NA(),IF(INDEX($B$6:$M$17,($Q$3-1-2)*$Q$4+X59+1,0*$Q$5+W59+1)&gt;=0,2+(INDEX($B$6:$M$17,($Q$3-1-2)*$Q$4+X59+1,0*$Q$5+W59+1)-$Q$17)/$Q$19*$Q$13,NA())))</f>
        <v>#N/A</v>
      </c>
      <c r="AE59">
        <f>IF(V59=1,NA(),IF(INDEX($B$6:$M$17,($Q$3-1-2)*$Q$4+X59+1,0*$Q$5+W59+1)="",NA(),IF(INDEX($B$6:$M$17,($Q$3-1-2)*$Q$4+X59+1,0*$Q$5+W59+1)&lt;0,2+(INDEX($B$6:$M$17,($Q$3-1-2)*$Q$4+X59+1,0*$Q$5+W59+1)-$Q$17)/$Q$19*$Q$13,NA())))</f>
        <v>2.2801666666666667</v>
      </c>
      <c r="AF59">
        <f>IF(V59=1,NA(),IF(INDEX($B$6:$M$17,($Q$3-1-3)*$Q$4+X59+1,0*$Q$5+W59+1)="",NA(),IF(INDEX($B$6:$M$17,($Q$3-1-3)*$Q$4+X59+1,0*$Q$5+W59+1)&gt;=0,3+(INDEX($B$6:$M$17,($Q$3-1-3)*$Q$4+X59+1,0*$Q$5+W59+1)-$Q$17)/$Q$19*$Q$13,NA())))</f>
        <v>3.5329999999999999</v>
      </c>
      <c r="AG59" t="e">
        <f>IF(V59=1,NA(),IF(INDEX($B$6:$M$17,($Q$3-1-3)*$Q$4+X59+1,0*$Q$5+W59+1)="",NA(),IF(INDEX($B$6:$M$17,($Q$3-1-3)*$Q$4+X59+1,0*$Q$5+W59+1)&lt;0,3+(INDEX($B$6:$M$17,($Q$3-1-3)*$Q$4+X59+1,0*$Q$5+W59+1)-$Q$17)/$Q$19*$Q$13,NA())))</f>
        <v>#N/A</v>
      </c>
      <c r="AI59">
        <f>IF(V59=1,0,IF(INDEX($B$6:$M$17,($Q$3-1-0)*$Q$4+X59+1,0*$Q$5+W59+1)="",0,IF(INDEX($B$6:$M$17,($Q$3-1-0)*$Q$4+X59+1,0*$Q$5+W59+1)&gt;=0,ABS(INDEX($B$6:$M$17,($Q$3-1-0)*$Q$4+X59+1,0*$Q$5+W59+1))/$Q$19*$Q$13,0)))</f>
        <v>0</v>
      </c>
      <c r="AJ59">
        <f>IF(V59=1,0,IF(INDEX($B$6:$M$17,($Q$3-1-0)*$Q$4+X59+1,0*$Q$5+W59+1)="",0,IF(INDEX($B$6:$M$17,($Q$3-1-0)*$Q$4+X59+1,0*$Q$5+W59+1)&lt;0,ABS(INDEX($B$6:$M$17,($Q$3-1-0)*$Q$4+X59+1,0*$Q$5+W59+1))/$Q$19*$Q$13,0)))</f>
        <v>0.19133333333333333</v>
      </c>
      <c r="AK59">
        <f>IF(V59=1,0,IF(INDEX($B$6:$M$17,($Q$3-1-1)*$Q$4+X59+1,0*$Q$5+W59+1)="",0,IF(INDEX($B$6:$M$17,($Q$3-1-1)*$Q$4+X59+1,0*$Q$5+W59+1)&gt;=0,ABS(INDEX($B$6:$M$17,($Q$3-1-1)*$Q$4+X59+1,0*$Q$5+W59+1))/$Q$19*$Q$13,0)))</f>
        <v>6.1499999999999992E-2</v>
      </c>
      <c r="AL59">
        <f>IF(V59=1,0,IF(INDEX($B$6:$M$17,($Q$3-1-1)*$Q$4+X59+1,0*$Q$5+W59+1)="",0,IF(INDEX($B$6:$M$17,($Q$3-1-1)*$Q$4+X59+1,0*$Q$5+W59+1)&lt;0,ABS(INDEX($B$6:$M$17,($Q$3-1-1)*$Q$4+X59+1,0*$Q$5+W59+1))/$Q$19*$Q$13,0)))</f>
        <v>0</v>
      </c>
      <c r="AM59">
        <f>IF(V59=1,0,IF(INDEX($B$6:$M$17,($Q$3-1-2)*$Q$4+X59+1,0*$Q$5+W59+1)="",0,IF(INDEX($B$6:$M$17,($Q$3-1-2)*$Q$4+X59+1,0*$Q$5+W59+1)&gt;=0,ABS(INDEX($B$6:$M$17,($Q$3-1-2)*$Q$4+X59+1,0*$Q$5+W59+1))/$Q$19*$Q$13,0)))</f>
        <v>0</v>
      </c>
      <c r="AN59">
        <f>IF(V59=1,0,IF(INDEX($B$6:$M$17,($Q$3-1-2)*$Q$4+X59+1,0*$Q$5+W59+1)="",0,IF(INDEX($B$6:$M$17,($Q$3-1-2)*$Q$4+X59+1,0*$Q$5+W59+1)&lt;0,ABS(INDEX($B$6:$M$17,($Q$3-1-2)*$Q$4+X59+1,0*$Q$5+W59+1))/$Q$19*$Q$13,0)))</f>
        <v>0.12983333333333333</v>
      </c>
      <c r="AO59">
        <f>IF(V59=1,0,IF(INDEX($B$6:$M$17,($Q$3-1-3)*$Q$4+X59+1,0*$Q$5+W59+1)="",0,IF(INDEX($B$6:$M$17,($Q$3-1-3)*$Q$4+X59+1,0*$Q$5+W59+1)&gt;=0,ABS(INDEX($B$6:$M$17,($Q$3-1-3)*$Q$4+X59+1,0*$Q$5+W59+1))/$Q$19*$Q$13,0)))</f>
        <v>0.12299999999999998</v>
      </c>
      <c r="AP59">
        <f>IF(V59=1,0,IF(INDEX($B$6:$M$17,($Q$3-1-3)*$Q$4+X59+1,0*$Q$5+W59+1)="",0,IF(INDEX($B$6:$M$17,($Q$3-1-3)*$Q$4+X59+1,0*$Q$5+W59+1)&lt;0,ABS(INDEX($B$6:$M$17,($Q$3-1-3)*$Q$4+X59+1,0*$Q$5+W59+1))/$Q$19*$Q$13,0)))</f>
        <v>0</v>
      </c>
      <c r="AR59" t="str">
        <f>IF(V59=1,"",IF(INDEX($B$6:$M$17,($Q$3-1-0)*$Q$4+X59+1,0*$Q$5+W59+1)="","",IF(INDEX($B$6:$M$17,($Q$3-1-0)*$Q$4+X59+1,0*$Q$5+W59+1)&gt;=0,TEXT(INDEX($B$6:$M$17,($Q$3-1-0)*$Q$4+X59+1,0*$Q$5+W59+1),"+0;-0;0"),"")))</f>
        <v/>
      </c>
      <c r="AS59" t="str">
        <f>IF(V59=1,"",IF(INDEX($B$6:$M$17,($Q$3-1-0)*$Q$4+X59+1,0*$Q$5+W59+1)="","",IF(INDEX($B$6:$M$17,($Q$3-1-0)*$Q$4+X59+1,0*$Q$5+W59+1)&lt;0,TEXT(INDEX($B$6:$M$17,($Q$3-1-0)*$Q$4+X59+1,0*$Q$5+W59+1),"+0;-0;0"),"")))</f>
        <v>-14</v>
      </c>
      <c r="AT59" t="str">
        <f>IF(V59=1,"",IF(INDEX($B$6:$M$17,($Q$3-1-1)*$Q$4+X59+1,0*$Q$5+W59+1)="","",IF(INDEX($B$6:$M$17,($Q$3-1-1)*$Q$4+X59+1,0*$Q$5+W59+1)&gt;=0,TEXT(INDEX($B$6:$M$17,($Q$3-1-1)*$Q$4+X59+1,0*$Q$5+W59+1),"+0;-0;0"),"")))</f>
        <v>+5</v>
      </c>
      <c r="AU59" t="str">
        <f>IF(V59=1,"",IF(INDEX($B$6:$M$17,($Q$3-1-1)*$Q$4+X59+1,0*$Q$5+W59+1)="","",IF(INDEX($B$6:$M$17,($Q$3-1-1)*$Q$4+X59+1,0*$Q$5+W59+1)&lt;0,TEXT(INDEX($B$6:$M$17,($Q$3-1-1)*$Q$4+X59+1,0*$Q$5+W59+1),"+0;-0;0"),"")))</f>
        <v/>
      </c>
      <c r="AV59" t="str">
        <f>IF(V59=1,"",IF(INDEX($B$6:$M$17,($Q$3-1-2)*$Q$4+X59+1,0*$Q$5+W59+1)="","",IF(INDEX($B$6:$M$17,($Q$3-1-2)*$Q$4+X59+1,0*$Q$5+W59+1)&gt;=0,TEXT(INDEX($B$6:$M$17,($Q$3-1-2)*$Q$4+X59+1,0*$Q$5+W59+1),"+0;-0;0"),"")))</f>
        <v/>
      </c>
      <c r="AW59" t="str">
        <f>IF(V59=1,"",IF(INDEX($B$6:$M$17,($Q$3-1-2)*$Q$4+X59+1,0*$Q$5+W59+1)="","",IF(INDEX($B$6:$M$17,($Q$3-1-2)*$Q$4+X59+1,0*$Q$5+W59+1)&lt;0,TEXT(INDEX($B$6:$M$17,($Q$3-1-2)*$Q$4+X59+1,0*$Q$5+W59+1),"+0;-0;0"),"")))</f>
        <v>-10</v>
      </c>
      <c r="AX59" t="str">
        <f>IF(V59=1,"",IF(INDEX($B$6:$M$17,($Q$3-1-3)*$Q$4+X59+1,0*$Q$5+W59+1)="","",IF(INDEX($B$6:$M$17,($Q$3-1-3)*$Q$4+X59+1,0*$Q$5+W59+1)&gt;=0,TEXT(INDEX($B$6:$M$17,($Q$3-1-3)*$Q$4+X59+1,0*$Q$5+W59+1),"+0;-0;0"),"")))</f>
        <v>+9</v>
      </c>
      <c r="AY59" t="str">
        <f>IF(V59=1,"",IF(INDEX($B$6:$M$17,($Q$3-1-3)*$Q$4+X59+1,0*$Q$5+W59+1)="","",IF(INDEX($B$6:$M$17,($Q$3-1-3)*$Q$4+X59+1,0*$Q$5+W59+1)&lt;0,TEXT(INDEX($B$6:$M$17,($Q$3-1-3)*$Q$4+X59+1,0*$Q$5+W59+1),"+0;-0;0"),"")))</f>
        <v/>
      </c>
      <c r="BG59">
        <v>41.5</v>
      </c>
      <c r="BH59" t="e">
        <f>NA()</f>
        <v>#N/A</v>
      </c>
    </row>
    <row r="60" spans="16:60" x14ac:dyDescent="0.35">
      <c r="P60">
        <v>37</v>
      </c>
      <c r="Q60">
        <f>P60-$Q$12</f>
        <v>34</v>
      </c>
      <c r="R60">
        <f>IF(Q60&lt;=0,-1,INT((Q60-1)/($Q$10+$Q$11)))</f>
        <v>2</v>
      </c>
      <c r="S60">
        <f>IF(Q60&lt;=0,-1,MOD(Q60-1,($Q$10+$Q$11)))</f>
        <v>7</v>
      </c>
      <c r="T60">
        <f>IF(OR(S60&lt;0,S60&gt;=$Q$10),-1,INT(S60/$Q$9))</f>
        <v>7</v>
      </c>
      <c r="U60">
        <f>IF(OR(S60&lt;0,S60&gt;=$Q$10),-1,MOD(S60,$Q$9))</f>
        <v>0</v>
      </c>
      <c r="V60">
        <f>IF(OR(Q60&lt;=0,S60&lt;0,S60&gt;=$Q$10,R60&gt;=$Q$7),1,0)</f>
        <v>0</v>
      </c>
      <c r="W60">
        <f>IF(V60=1,-1,T60)</f>
        <v>7</v>
      </c>
      <c r="X60">
        <f>IF(V60=1,-1,R60)</f>
        <v>2</v>
      </c>
      <c r="Y60" t="str">
        <f>IF(V60=1,"",IF(AND(MOD(W60,3)=0,U60=INT(($Q$9-1)/2)),INDEX($B$5:$M$5,W60+1),""))</f>
        <v/>
      </c>
      <c r="Z60">
        <f>IF(V60=1,NA(),IF(INDEX($B$6:$M$17,($Q$3-1-0)*$Q$4+X60+1,0*$Q$5+W60+1)="",NA(),IF(INDEX($B$6:$M$17,($Q$3-1-0)*$Q$4+X60+1,0*$Q$5+W60+1)&gt;=0,0+(INDEX($B$6:$M$17,($Q$3-1-0)*$Q$4+X60+1,0*$Q$5+W60+1)-$Q$17)/$Q$19*$Q$13,NA())))</f>
        <v>0.42366666666666669</v>
      </c>
      <c r="AA60" t="e">
        <f>IF(V60=1,NA(),IF(INDEX($B$6:$M$17,($Q$3-1-0)*$Q$4+X60+1,0*$Q$5+W60+1)="",NA(),IF(INDEX($B$6:$M$17,($Q$3-1-0)*$Q$4+X60+1,0*$Q$5+W60+1)&lt;0,0+(INDEX($B$6:$M$17,($Q$3-1-0)*$Q$4+X60+1,0*$Q$5+W60+1)-$Q$17)/$Q$19*$Q$13,NA())))</f>
        <v>#N/A</v>
      </c>
      <c r="AB60">
        <f>IF(V60=1,NA(),IF(INDEX($B$6:$M$17,($Q$3-1-1)*$Q$4+X60+1,0*$Q$5+W60+1)="",NA(),IF(INDEX($B$6:$M$17,($Q$3-1-1)*$Q$4+X60+1,0*$Q$5+W60+1)&gt;=0,1+(INDEX($B$6:$M$17,($Q$3-1-1)*$Q$4+X60+1,0*$Q$5+W60+1)-$Q$17)/$Q$19*$Q$13,NA())))</f>
        <v>1.6764999999999999</v>
      </c>
      <c r="AC60" t="e">
        <f>IF(V60=1,NA(),IF(INDEX($B$6:$M$17,($Q$3-1-1)*$Q$4+X60+1,0*$Q$5+W60+1)="",NA(),IF(INDEX($B$6:$M$17,($Q$3-1-1)*$Q$4+X60+1,0*$Q$5+W60+1)&lt;0,1+(INDEX($B$6:$M$17,($Q$3-1-1)*$Q$4+X60+1,0*$Q$5+W60+1)-$Q$17)/$Q$19*$Q$13,NA())))</f>
        <v>#N/A</v>
      </c>
      <c r="AD60" t="e">
        <f>IF(V60=1,NA(),IF(INDEX($B$6:$M$17,($Q$3-1-2)*$Q$4+X60+1,0*$Q$5+W60+1)="",NA(),IF(INDEX($B$6:$M$17,($Q$3-1-2)*$Q$4+X60+1,0*$Q$5+W60+1)&gt;=0,2+(INDEX($B$6:$M$17,($Q$3-1-2)*$Q$4+X60+1,0*$Q$5+W60+1)-$Q$17)/$Q$19*$Q$13,NA())))</f>
        <v>#N/A</v>
      </c>
      <c r="AE60">
        <f>IF(V60=1,NA(),IF(INDEX($B$6:$M$17,($Q$3-1-2)*$Q$4+X60+1,0*$Q$5+W60+1)="",NA(),IF(INDEX($B$6:$M$17,($Q$3-1-2)*$Q$4+X60+1,0*$Q$5+W60+1)&lt;0,2+(INDEX($B$6:$M$17,($Q$3-1-2)*$Q$4+X60+1,0*$Q$5+W60+1)-$Q$17)/$Q$19*$Q$13,NA())))</f>
        <v>2.0341666666666667</v>
      </c>
      <c r="AF60" t="e">
        <f>IF(V60=1,NA(),IF(INDEX($B$6:$M$17,($Q$3-1-3)*$Q$4+X60+1,0*$Q$5+W60+1)="",NA(),IF(INDEX($B$6:$M$17,($Q$3-1-3)*$Q$4+X60+1,0*$Q$5+W60+1)&gt;=0,3+(INDEX($B$6:$M$17,($Q$3-1-3)*$Q$4+X60+1,0*$Q$5+W60+1)-$Q$17)/$Q$19*$Q$13,NA())))</f>
        <v>#N/A</v>
      </c>
      <c r="AG60">
        <f>IF(V60=1,NA(),IF(INDEX($B$6:$M$17,($Q$3-1-3)*$Q$4+X60+1,0*$Q$5+W60+1)="",NA(),IF(INDEX($B$6:$M$17,($Q$3-1-3)*$Q$4+X60+1,0*$Q$5+W60+1)&lt;0,3+(INDEX($B$6:$M$17,($Q$3-1-3)*$Q$4+X60+1,0*$Q$5+W60+1)-$Q$17)/$Q$19*$Q$13,NA())))</f>
        <v>3.2869999999999999</v>
      </c>
      <c r="AI60">
        <f>IF(V60=1,0,IF(INDEX($B$6:$M$17,($Q$3-1-0)*$Q$4+X60+1,0*$Q$5+W60+1)="",0,IF(INDEX($B$6:$M$17,($Q$3-1-0)*$Q$4+X60+1,0*$Q$5+W60+1)&gt;=0,ABS(INDEX($B$6:$M$17,($Q$3-1-0)*$Q$4+X60+1,0*$Q$5+W60+1))/$Q$19*$Q$13,0)))</f>
        <v>1.3666666666666666E-2</v>
      </c>
      <c r="AJ60">
        <f>IF(V60=1,0,IF(INDEX($B$6:$M$17,($Q$3-1-0)*$Q$4+X60+1,0*$Q$5+W60+1)="",0,IF(INDEX($B$6:$M$17,($Q$3-1-0)*$Q$4+X60+1,0*$Q$5+W60+1)&lt;0,ABS(INDEX($B$6:$M$17,($Q$3-1-0)*$Q$4+X60+1,0*$Q$5+W60+1))/$Q$19*$Q$13,0)))</f>
        <v>0</v>
      </c>
      <c r="AK60">
        <f>IF(V60=1,0,IF(INDEX($B$6:$M$17,($Q$3-1-1)*$Q$4+X60+1,0*$Q$5+W60+1)="",0,IF(INDEX($B$6:$M$17,($Q$3-1-1)*$Q$4+X60+1,0*$Q$5+W60+1)&gt;=0,ABS(INDEX($B$6:$M$17,($Q$3-1-1)*$Q$4+X60+1,0*$Q$5+W60+1))/$Q$19*$Q$13,0)))</f>
        <v>0.26650000000000001</v>
      </c>
      <c r="AL60">
        <f>IF(V60=1,0,IF(INDEX($B$6:$M$17,($Q$3-1-1)*$Q$4+X60+1,0*$Q$5+W60+1)="",0,IF(INDEX($B$6:$M$17,($Q$3-1-1)*$Q$4+X60+1,0*$Q$5+W60+1)&lt;0,ABS(INDEX($B$6:$M$17,($Q$3-1-1)*$Q$4+X60+1,0*$Q$5+W60+1))/$Q$19*$Q$13,0)))</f>
        <v>0</v>
      </c>
      <c r="AM60">
        <f>IF(V60=1,0,IF(INDEX($B$6:$M$17,($Q$3-1-2)*$Q$4+X60+1,0*$Q$5+W60+1)="",0,IF(INDEX($B$6:$M$17,($Q$3-1-2)*$Q$4+X60+1,0*$Q$5+W60+1)&gt;=0,ABS(INDEX($B$6:$M$17,($Q$3-1-2)*$Q$4+X60+1,0*$Q$5+W60+1))/$Q$19*$Q$13,0)))</f>
        <v>0</v>
      </c>
      <c r="AN60">
        <f>IF(V60=1,0,IF(INDEX($B$6:$M$17,($Q$3-1-2)*$Q$4+X60+1,0*$Q$5+W60+1)="",0,IF(INDEX($B$6:$M$17,($Q$3-1-2)*$Q$4+X60+1,0*$Q$5+W60+1)&lt;0,ABS(INDEX($B$6:$M$17,($Q$3-1-2)*$Q$4+X60+1,0*$Q$5+W60+1))/$Q$19*$Q$13,0)))</f>
        <v>0.3758333333333333</v>
      </c>
      <c r="AO60">
        <f>IF(V60=1,0,IF(INDEX($B$6:$M$17,($Q$3-1-3)*$Q$4+X60+1,0*$Q$5+W60+1)="",0,IF(INDEX($B$6:$M$17,($Q$3-1-3)*$Q$4+X60+1,0*$Q$5+W60+1)&gt;=0,ABS(INDEX($B$6:$M$17,($Q$3-1-3)*$Q$4+X60+1,0*$Q$5+W60+1))/$Q$19*$Q$13,0)))</f>
        <v>0</v>
      </c>
      <c r="AP60">
        <f>IF(V60=1,0,IF(INDEX($B$6:$M$17,($Q$3-1-3)*$Q$4+X60+1,0*$Q$5+W60+1)="",0,IF(INDEX($B$6:$M$17,($Q$3-1-3)*$Q$4+X60+1,0*$Q$5+W60+1)&lt;0,ABS(INDEX($B$6:$M$17,($Q$3-1-3)*$Q$4+X60+1,0*$Q$5+W60+1))/$Q$19*$Q$13,0)))</f>
        <v>0.12299999999999998</v>
      </c>
      <c r="AR60" t="str">
        <f>IF(V60=1,"",IF(INDEX($B$6:$M$17,($Q$3-1-0)*$Q$4+X60+1,0*$Q$5+W60+1)="","",IF(INDEX($B$6:$M$17,($Q$3-1-0)*$Q$4+X60+1,0*$Q$5+W60+1)&gt;=0,TEXT(INDEX($B$6:$M$17,($Q$3-1-0)*$Q$4+X60+1,0*$Q$5+W60+1),"+0;-0;0"),"")))</f>
        <v>+1</v>
      </c>
      <c r="AS60" t="str">
        <f>IF(V60=1,"",IF(INDEX($B$6:$M$17,($Q$3-1-0)*$Q$4+X60+1,0*$Q$5+W60+1)="","",IF(INDEX($B$6:$M$17,($Q$3-1-0)*$Q$4+X60+1,0*$Q$5+W60+1)&lt;0,TEXT(INDEX($B$6:$M$17,($Q$3-1-0)*$Q$4+X60+1,0*$Q$5+W60+1),"+0;-0;0"),"")))</f>
        <v/>
      </c>
      <c r="AT60" t="str">
        <f>IF(V60=1,"",IF(INDEX($B$6:$M$17,($Q$3-1-1)*$Q$4+X60+1,0*$Q$5+W60+1)="","",IF(INDEX($B$6:$M$17,($Q$3-1-1)*$Q$4+X60+1,0*$Q$5+W60+1)&gt;=0,TEXT(INDEX($B$6:$M$17,($Q$3-1-1)*$Q$4+X60+1,0*$Q$5+W60+1),"+0;-0;0"),"")))</f>
        <v>+20</v>
      </c>
      <c r="AU60" t="str">
        <f>IF(V60=1,"",IF(INDEX($B$6:$M$17,($Q$3-1-1)*$Q$4+X60+1,0*$Q$5+W60+1)="","",IF(INDEX($B$6:$M$17,($Q$3-1-1)*$Q$4+X60+1,0*$Q$5+W60+1)&lt;0,TEXT(INDEX($B$6:$M$17,($Q$3-1-1)*$Q$4+X60+1,0*$Q$5+W60+1),"+0;-0;0"),"")))</f>
        <v/>
      </c>
      <c r="AV60" t="str">
        <f>IF(V60=1,"",IF(INDEX($B$6:$M$17,($Q$3-1-2)*$Q$4+X60+1,0*$Q$5+W60+1)="","",IF(INDEX($B$6:$M$17,($Q$3-1-2)*$Q$4+X60+1,0*$Q$5+W60+1)&gt;=0,TEXT(INDEX($B$6:$M$17,($Q$3-1-2)*$Q$4+X60+1,0*$Q$5+W60+1),"+0;-0;0"),"")))</f>
        <v/>
      </c>
      <c r="AW60" t="str">
        <f>IF(V60=1,"",IF(INDEX($B$6:$M$17,($Q$3-1-2)*$Q$4+X60+1,0*$Q$5+W60+1)="","",IF(INDEX($B$6:$M$17,($Q$3-1-2)*$Q$4+X60+1,0*$Q$5+W60+1)&lt;0,TEXT(INDEX($B$6:$M$17,($Q$3-1-2)*$Q$4+X60+1,0*$Q$5+W60+1),"+0;-0;0"),"")))</f>
        <v>-28</v>
      </c>
      <c r="AX60" t="str">
        <f>IF(V60=1,"",IF(INDEX($B$6:$M$17,($Q$3-1-3)*$Q$4+X60+1,0*$Q$5+W60+1)="","",IF(INDEX($B$6:$M$17,($Q$3-1-3)*$Q$4+X60+1,0*$Q$5+W60+1)&gt;=0,TEXT(INDEX($B$6:$M$17,($Q$3-1-3)*$Q$4+X60+1,0*$Q$5+W60+1),"+0;-0;0"),"")))</f>
        <v/>
      </c>
      <c r="AY60" t="str">
        <f>IF(V60=1,"",IF(INDEX($B$6:$M$17,($Q$3-1-3)*$Q$4+X60+1,0*$Q$5+W60+1)="","",IF(INDEX($B$6:$M$17,($Q$3-1-3)*$Q$4+X60+1,0*$Q$5+W60+1)&lt;0,TEXT(INDEX($B$6:$M$17,($Q$3-1-3)*$Q$4+X60+1,0*$Q$5+W60+1),"+0;-0;0"),"")))</f>
        <v>-9</v>
      </c>
    </row>
    <row r="61" spans="16:60" x14ac:dyDescent="0.35">
      <c r="P61">
        <v>38</v>
      </c>
      <c r="Q61">
        <f>P61-$Q$12</f>
        <v>35</v>
      </c>
      <c r="R61">
        <f>IF(Q61&lt;=0,-1,INT((Q61-1)/($Q$10+$Q$11)))</f>
        <v>2</v>
      </c>
      <c r="S61">
        <f>IF(Q61&lt;=0,-1,MOD(Q61-1,($Q$10+$Q$11)))</f>
        <v>8</v>
      </c>
      <c r="T61">
        <f>IF(OR(S61&lt;0,S61&gt;=$Q$10),-1,INT(S61/$Q$9))</f>
        <v>8</v>
      </c>
      <c r="U61">
        <f>IF(OR(S61&lt;0,S61&gt;=$Q$10),-1,MOD(S61,$Q$9))</f>
        <v>0</v>
      </c>
      <c r="V61">
        <f>IF(OR(Q61&lt;=0,S61&lt;0,S61&gt;=$Q$10,R61&gt;=$Q$7),1,0)</f>
        <v>0</v>
      </c>
      <c r="W61">
        <f>IF(V61=1,-1,T61)</f>
        <v>8</v>
      </c>
      <c r="X61">
        <f>IF(V61=1,-1,R61)</f>
        <v>2</v>
      </c>
      <c r="Y61" t="str">
        <f>IF(V61=1,"",IF(AND(MOD(W61,3)=0,U61=INT(($Q$9-1)/2)),INDEX($B$5:$M$5,W61+1),""))</f>
        <v/>
      </c>
      <c r="Z61" t="e">
        <f>IF(V61=1,NA(),IF(INDEX($B$6:$M$17,($Q$3-1-0)*$Q$4+X61+1,0*$Q$5+W61+1)="",NA(),IF(INDEX($B$6:$M$17,($Q$3-1-0)*$Q$4+X61+1,0*$Q$5+W61+1)&gt;=0,0+(INDEX($B$6:$M$17,($Q$3-1-0)*$Q$4+X61+1,0*$Q$5+W61+1)-$Q$17)/$Q$19*$Q$13,NA())))</f>
        <v>#N/A</v>
      </c>
      <c r="AA61">
        <f>IF(V61=1,NA(),IF(INDEX($B$6:$M$17,($Q$3-1-0)*$Q$4+X61+1,0*$Q$5+W61+1)="",NA(),IF(INDEX($B$6:$M$17,($Q$3-1-0)*$Q$4+X61+1,0*$Q$5+W61+1)&lt;0,0+(INDEX($B$6:$M$17,($Q$3-1-0)*$Q$4+X61+1,0*$Q$5+W61+1)-$Q$17)/$Q$19*$Q$13,NA())))</f>
        <v>0.17766666666666667</v>
      </c>
      <c r="AB61">
        <f>IF(V61=1,NA(),IF(INDEX($B$6:$M$17,($Q$3-1-1)*$Q$4+X61+1,0*$Q$5+W61+1)="",NA(),IF(INDEX($B$6:$M$17,($Q$3-1-1)*$Q$4+X61+1,0*$Q$5+W61+1)&gt;=0,1+(INDEX($B$6:$M$17,($Q$3-1-1)*$Q$4+X61+1,0*$Q$5+W61+1)-$Q$17)/$Q$19*$Q$13,NA())))</f>
        <v>1.4304999999999999</v>
      </c>
      <c r="AC61" t="e">
        <f>IF(V61=1,NA(),IF(INDEX($B$6:$M$17,($Q$3-1-1)*$Q$4+X61+1,0*$Q$5+W61+1)="",NA(),IF(INDEX($B$6:$M$17,($Q$3-1-1)*$Q$4+X61+1,0*$Q$5+W61+1)&lt;0,1+(INDEX($B$6:$M$17,($Q$3-1-1)*$Q$4+X61+1,0*$Q$5+W61+1)-$Q$17)/$Q$19*$Q$13,NA())))</f>
        <v>#N/A</v>
      </c>
      <c r="AD61" t="e">
        <f>IF(V61=1,NA(),IF(INDEX($B$6:$M$17,($Q$3-1-2)*$Q$4+X61+1,0*$Q$5+W61+1)="",NA(),IF(INDEX($B$6:$M$17,($Q$3-1-2)*$Q$4+X61+1,0*$Q$5+W61+1)&gt;=0,2+(INDEX($B$6:$M$17,($Q$3-1-2)*$Q$4+X61+1,0*$Q$5+W61+1)-$Q$17)/$Q$19*$Q$13,NA())))</f>
        <v>#N/A</v>
      </c>
      <c r="AE61">
        <f>IF(V61=1,NA(),IF(INDEX($B$6:$M$17,($Q$3-1-2)*$Q$4+X61+1,0*$Q$5+W61+1)="",NA(),IF(INDEX($B$6:$M$17,($Q$3-1-2)*$Q$4+X61+1,0*$Q$5+W61+1)&lt;0,2+(INDEX($B$6:$M$17,($Q$3-1-2)*$Q$4+X61+1,0*$Q$5+W61+1)-$Q$17)/$Q$19*$Q$13,NA())))</f>
        <v>2.2391666666666667</v>
      </c>
      <c r="AF61">
        <f>IF(V61=1,NA(),IF(INDEX($B$6:$M$17,($Q$3-1-3)*$Q$4+X61+1,0*$Q$5+W61+1)="",NA(),IF(INDEX($B$6:$M$17,($Q$3-1-3)*$Q$4+X61+1,0*$Q$5+W61+1)&gt;=0,3+(INDEX($B$6:$M$17,($Q$3-1-3)*$Q$4+X61+1,0*$Q$5+W61+1)-$Q$17)/$Q$19*$Q$13,NA())))</f>
        <v>3.492</v>
      </c>
      <c r="AG61" t="e">
        <f>IF(V61=1,NA(),IF(INDEX($B$6:$M$17,($Q$3-1-3)*$Q$4+X61+1,0*$Q$5+W61+1)="",NA(),IF(INDEX($B$6:$M$17,($Q$3-1-3)*$Q$4+X61+1,0*$Q$5+W61+1)&lt;0,3+(INDEX($B$6:$M$17,($Q$3-1-3)*$Q$4+X61+1,0*$Q$5+W61+1)-$Q$17)/$Q$19*$Q$13,NA())))</f>
        <v>#N/A</v>
      </c>
      <c r="AI61">
        <f>IF(V61=1,0,IF(INDEX($B$6:$M$17,($Q$3-1-0)*$Q$4+X61+1,0*$Q$5+W61+1)="",0,IF(INDEX($B$6:$M$17,($Q$3-1-0)*$Q$4+X61+1,0*$Q$5+W61+1)&gt;=0,ABS(INDEX($B$6:$M$17,($Q$3-1-0)*$Q$4+X61+1,0*$Q$5+W61+1))/$Q$19*$Q$13,0)))</f>
        <v>0</v>
      </c>
      <c r="AJ61">
        <f>IF(V61=1,0,IF(INDEX($B$6:$M$17,($Q$3-1-0)*$Q$4+X61+1,0*$Q$5+W61+1)="",0,IF(INDEX($B$6:$M$17,($Q$3-1-0)*$Q$4+X61+1,0*$Q$5+W61+1)&lt;0,ABS(INDEX($B$6:$M$17,($Q$3-1-0)*$Q$4+X61+1,0*$Q$5+W61+1))/$Q$19*$Q$13,0)))</f>
        <v>0.23233333333333331</v>
      </c>
      <c r="AK61">
        <f>IF(V61=1,0,IF(INDEX($B$6:$M$17,($Q$3-1-1)*$Q$4+X61+1,0*$Q$5+W61+1)="",0,IF(INDEX($B$6:$M$17,($Q$3-1-1)*$Q$4+X61+1,0*$Q$5+W61+1)&gt;=0,ABS(INDEX($B$6:$M$17,($Q$3-1-1)*$Q$4+X61+1,0*$Q$5+W61+1))/$Q$19*$Q$13,0)))</f>
        <v>2.0500000000000001E-2</v>
      </c>
      <c r="AL61">
        <f>IF(V61=1,0,IF(INDEX($B$6:$M$17,($Q$3-1-1)*$Q$4+X61+1,0*$Q$5+W61+1)="",0,IF(INDEX($B$6:$M$17,($Q$3-1-1)*$Q$4+X61+1,0*$Q$5+W61+1)&lt;0,ABS(INDEX($B$6:$M$17,($Q$3-1-1)*$Q$4+X61+1,0*$Q$5+W61+1))/$Q$19*$Q$13,0)))</f>
        <v>0</v>
      </c>
      <c r="AM61">
        <f>IF(V61=1,0,IF(INDEX($B$6:$M$17,($Q$3-1-2)*$Q$4+X61+1,0*$Q$5+W61+1)="",0,IF(INDEX($B$6:$M$17,($Q$3-1-2)*$Q$4+X61+1,0*$Q$5+W61+1)&gt;=0,ABS(INDEX($B$6:$M$17,($Q$3-1-2)*$Q$4+X61+1,0*$Q$5+W61+1))/$Q$19*$Q$13,0)))</f>
        <v>0</v>
      </c>
      <c r="AN61">
        <f>IF(V61=1,0,IF(INDEX($B$6:$M$17,($Q$3-1-2)*$Q$4+X61+1,0*$Q$5+W61+1)="",0,IF(INDEX($B$6:$M$17,($Q$3-1-2)*$Q$4+X61+1,0*$Q$5+W61+1)&lt;0,ABS(INDEX($B$6:$M$17,($Q$3-1-2)*$Q$4+X61+1,0*$Q$5+W61+1))/$Q$19*$Q$13,0)))</f>
        <v>0.17083333333333334</v>
      </c>
      <c r="AO61">
        <f>IF(V61=1,0,IF(INDEX($B$6:$M$17,($Q$3-1-3)*$Q$4+X61+1,0*$Q$5+W61+1)="",0,IF(INDEX($B$6:$M$17,($Q$3-1-3)*$Q$4+X61+1,0*$Q$5+W61+1)&gt;=0,ABS(INDEX($B$6:$M$17,($Q$3-1-3)*$Q$4+X61+1,0*$Q$5+W61+1))/$Q$19*$Q$13,0)))</f>
        <v>8.2000000000000003E-2</v>
      </c>
      <c r="AP61">
        <f>IF(V61=1,0,IF(INDEX($B$6:$M$17,($Q$3-1-3)*$Q$4+X61+1,0*$Q$5+W61+1)="",0,IF(INDEX($B$6:$M$17,($Q$3-1-3)*$Q$4+X61+1,0*$Q$5+W61+1)&lt;0,ABS(INDEX($B$6:$M$17,($Q$3-1-3)*$Q$4+X61+1,0*$Q$5+W61+1))/$Q$19*$Q$13,0)))</f>
        <v>0</v>
      </c>
      <c r="AR61" t="str">
        <f>IF(V61=1,"",IF(INDEX($B$6:$M$17,($Q$3-1-0)*$Q$4+X61+1,0*$Q$5+W61+1)="","",IF(INDEX($B$6:$M$17,($Q$3-1-0)*$Q$4+X61+1,0*$Q$5+W61+1)&gt;=0,TEXT(INDEX($B$6:$M$17,($Q$3-1-0)*$Q$4+X61+1,0*$Q$5+W61+1),"+0;-0;0"),"")))</f>
        <v/>
      </c>
      <c r="AS61" t="str">
        <f>IF(V61=1,"",IF(INDEX($B$6:$M$17,($Q$3-1-0)*$Q$4+X61+1,0*$Q$5+W61+1)="","",IF(INDEX($B$6:$M$17,($Q$3-1-0)*$Q$4+X61+1,0*$Q$5+W61+1)&lt;0,TEXT(INDEX($B$6:$M$17,($Q$3-1-0)*$Q$4+X61+1,0*$Q$5+W61+1),"+0;-0;0"),"")))</f>
        <v>-17</v>
      </c>
      <c r="AT61" t="str">
        <f>IF(V61=1,"",IF(INDEX($B$6:$M$17,($Q$3-1-1)*$Q$4+X61+1,0*$Q$5+W61+1)="","",IF(INDEX($B$6:$M$17,($Q$3-1-1)*$Q$4+X61+1,0*$Q$5+W61+1)&gt;=0,TEXT(INDEX($B$6:$M$17,($Q$3-1-1)*$Q$4+X61+1,0*$Q$5+W61+1),"+0;-0;0"),"")))</f>
        <v>+2</v>
      </c>
      <c r="AU61" t="str">
        <f>IF(V61=1,"",IF(INDEX($B$6:$M$17,($Q$3-1-1)*$Q$4+X61+1,0*$Q$5+W61+1)="","",IF(INDEX($B$6:$M$17,($Q$3-1-1)*$Q$4+X61+1,0*$Q$5+W61+1)&lt;0,TEXT(INDEX($B$6:$M$17,($Q$3-1-1)*$Q$4+X61+1,0*$Q$5+W61+1),"+0;-0;0"),"")))</f>
        <v/>
      </c>
      <c r="AV61" t="str">
        <f>IF(V61=1,"",IF(INDEX($B$6:$M$17,($Q$3-1-2)*$Q$4+X61+1,0*$Q$5+W61+1)="","",IF(INDEX($B$6:$M$17,($Q$3-1-2)*$Q$4+X61+1,0*$Q$5+W61+1)&gt;=0,TEXT(INDEX($B$6:$M$17,($Q$3-1-2)*$Q$4+X61+1,0*$Q$5+W61+1),"+0;-0;0"),"")))</f>
        <v/>
      </c>
      <c r="AW61" t="str">
        <f>IF(V61=1,"",IF(INDEX($B$6:$M$17,($Q$3-1-2)*$Q$4+X61+1,0*$Q$5+W61+1)="","",IF(INDEX($B$6:$M$17,($Q$3-1-2)*$Q$4+X61+1,0*$Q$5+W61+1)&lt;0,TEXT(INDEX($B$6:$M$17,($Q$3-1-2)*$Q$4+X61+1,0*$Q$5+W61+1),"+0;-0;0"),"")))</f>
        <v>-13</v>
      </c>
      <c r="AX61" t="str">
        <f>IF(V61=1,"",IF(INDEX($B$6:$M$17,($Q$3-1-3)*$Q$4+X61+1,0*$Q$5+W61+1)="","",IF(INDEX($B$6:$M$17,($Q$3-1-3)*$Q$4+X61+1,0*$Q$5+W61+1)&gt;=0,TEXT(INDEX($B$6:$M$17,($Q$3-1-3)*$Q$4+X61+1,0*$Q$5+W61+1),"+0;-0;0"),"")))</f>
        <v>+6</v>
      </c>
      <c r="AY61" t="str">
        <f>IF(V61=1,"",IF(INDEX($B$6:$M$17,($Q$3-1-3)*$Q$4+X61+1,0*$Q$5+W61+1)="","",IF(INDEX($B$6:$M$17,($Q$3-1-3)*$Q$4+X61+1,0*$Q$5+W61+1)&lt;0,TEXT(INDEX($B$6:$M$17,($Q$3-1-3)*$Q$4+X61+1,0*$Q$5+W61+1),"+0;-0;0"),"")))</f>
        <v/>
      </c>
    </row>
    <row r="62" spans="16:60" x14ac:dyDescent="0.35">
      <c r="P62">
        <v>39</v>
      </c>
      <c r="Q62">
        <f>P62-$Q$12</f>
        <v>36</v>
      </c>
      <c r="R62">
        <f>IF(Q62&lt;=0,-1,INT((Q62-1)/($Q$10+$Q$11)))</f>
        <v>2</v>
      </c>
      <c r="S62">
        <f>IF(Q62&lt;=0,-1,MOD(Q62-1,($Q$10+$Q$11)))</f>
        <v>9</v>
      </c>
      <c r="T62">
        <f>IF(OR(S62&lt;0,S62&gt;=$Q$10),-1,INT(S62/$Q$9))</f>
        <v>9</v>
      </c>
      <c r="U62">
        <f>IF(OR(S62&lt;0,S62&gt;=$Q$10),-1,MOD(S62,$Q$9))</f>
        <v>0</v>
      </c>
      <c r="V62">
        <f>IF(OR(Q62&lt;=0,S62&lt;0,S62&gt;=$Q$10,R62&gt;=$Q$7),1,0)</f>
        <v>0</v>
      </c>
      <c r="W62">
        <f>IF(V62=1,-1,T62)</f>
        <v>9</v>
      </c>
      <c r="X62">
        <f>IF(V62=1,-1,R62)</f>
        <v>2</v>
      </c>
      <c r="Y62" t="str">
        <f>IF(V62=1,"",IF(AND(MOD(W62,3)=0,U62=INT(($Q$9-1)/2)),INDEX($B$5:$M$5,W62+1),""))</f>
        <v>Oct</v>
      </c>
      <c r="Z62" t="e">
        <f>IF(V62=1,NA(),IF(INDEX($B$6:$M$17,($Q$3-1-0)*$Q$4+X62+1,0*$Q$5+W62+1)="",NA(),IF(INDEX($B$6:$M$17,($Q$3-1-0)*$Q$4+X62+1,0*$Q$5+W62+1)&gt;=0,0+(INDEX($B$6:$M$17,($Q$3-1-0)*$Q$4+X62+1,0*$Q$5+W62+1)-$Q$17)/$Q$19*$Q$13,NA())))</f>
        <v>#N/A</v>
      </c>
      <c r="AA62">
        <f>IF(V62=1,NA(),IF(INDEX($B$6:$M$17,($Q$3-1-0)*$Q$4+X62+1,0*$Q$5+W62+1)="",NA(),IF(INDEX($B$6:$M$17,($Q$3-1-0)*$Q$4+X62+1,0*$Q$5+W62+1)&lt;0,0+(INDEX($B$6:$M$17,($Q$3-1-0)*$Q$4+X62+1,0*$Q$5+W62+1)-$Q$17)/$Q$19*$Q$13,NA())))</f>
        <v>0.38266666666666665</v>
      </c>
      <c r="AB62">
        <f>IF(V62=1,NA(),IF(INDEX($B$6:$M$17,($Q$3-1-1)*$Q$4+X62+1,0*$Q$5+W62+1)="",NA(),IF(INDEX($B$6:$M$17,($Q$3-1-1)*$Q$4+X62+1,0*$Q$5+W62+1)&gt;=0,1+(INDEX($B$6:$M$17,($Q$3-1-1)*$Q$4+X62+1,0*$Q$5+W62+1)-$Q$17)/$Q$19*$Q$13,NA())))</f>
        <v>1.6355</v>
      </c>
      <c r="AC62" t="e">
        <f>IF(V62=1,NA(),IF(INDEX($B$6:$M$17,($Q$3-1-1)*$Q$4+X62+1,0*$Q$5+W62+1)="",NA(),IF(INDEX($B$6:$M$17,($Q$3-1-1)*$Q$4+X62+1,0*$Q$5+W62+1)&lt;0,1+(INDEX($B$6:$M$17,($Q$3-1-1)*$Q$4+X62+1,0*$Q$5+W62+1)-$Q$17)/$Q$19*$Q$13,NA())))</f>
        <v>#N/A</v>
      </c>
      <c r="AD62">
        <f>IF(V62=1,NA(),IF(INDEX($B$6:$M$17,($Q$3-1-2)*$Q$4+X62+1,0*$Q$5+W62+1)="",NA(),IF(INDEX($B$6:$M$17,($Q$3-1-2)*$Q$4+X62+1,0*$Q$5+W62+1)&gt;=0,2+(INDEX($B$6:$M$17,($Q$3-1-2)*$Q$4+X62+1,0*$Q$5+W62+1)-$Q$17)/$Q$19*$Q$13,NA())))</f>
        <v>2.4441666666666668</v>
      </c>
      <c r="AE62" t="e">
        <f>IF(V62=1,NA(),IF(INDEX($B$6:$M$17,($Q$3-1-2)*$Q$4+X62+1,0*$Q$5+W62+1)="",NA(),IF(INDEX($B$6:$M$17,($Q$3-1-2)*$Q$4+X62+1,0*$Q$5+W62+1)&lt;0,2+(INDEX($B$6:$M$17,($Q$3-1-2)*$Q$4+X62+1,0*$Q$5+W62+1)-$Q$17)/$Q$19*$Q$13,NA())))</f>
        <v>#N/A</v>
      </c>
      <c r="AF62" t="e">
        <f>IF(V62=1,NA(),IF(INDEX($B$6:$M$17,($Q$3-1-3)*$Q$4+X62+1,0*$Q$5+W62+1)="",NA(),IF(INDEX($B$6:$M$17,($Q$3-1-3)*$Q$4+X62+1,0*$Q$5+W62+1)&gt;=0,3+(INDEX($B$6:$M$17,($Q$3-1-3)*$Q$4+X62+1,0*$Q$5+W62+1)-$Q$17)/$Q$19*$Q$13,NA())))</f>
        <v>#N/A</v>
      </c>
      <c r="AG62">
        <f>IF(V62=1,NA(),IF(INDEX($B$6:$M$17,($Q$3-1-3)*$Q$4+X62+1,0*$Q$5+W62+1)="",NA(),IF(INDEX($B$6:$M$17,($Q$3-1-3)*$Q$4+X62+1,0*$Q$5+W62+1)&lt;0,3+(INDEX($B$6:$M$17,($Q$3-1-3)*$Q$4+X62+1,0*$Q$5+W62+1)-$Q$17)/$Q$19*$Q$13,NA())))</f>
        <v>3.246</v>
      </c>
      <c r="AI62">
        <f>IF(V62=1,0,IF(INDEX($B$6:$M$17,($Q$3-1-0)*$Q$4+X62+1,0*$Q$5+W62+1)="",0,IF(INDEX($B$6:$M$17,($Q$3-1-0)*$Q$4+X62+1,0*$Q$5+W62+1)&gt;=0,ABS(INDEX($B$6:$M$17,($Q$3-1-0)*$Q$4+X62+1,0*$Q$5+W62+1))/$Q$19*$Q$13,0)))</f>
        <v>0</v>
      </c>
      <c r="AJ62">
        <f>IF(V62=1,0,IF(INDEX($B$6:$M$17,($Q$3-1-0)*$Q$4+X62+1,0*$Q$5+W62+1)="",0,IF(INDEX($B$6:$M$17,($Q$3-1-0)*$Q$4+X62+1,0*$Q$5+W62+1)&lt;0,ABS(INDEX($B$6:$M$17,($Q$3-1-0)*$Q$4+X62+1,0*$Q$5+W62+1))/$Q$19*$Q$13,0)))</f>
        <v>2.7333333333333331E-2</v>
      </c>
      <c r="AK62">
        <f>IF(V62=1,0,IF(INDEX($B$6:$M$17,($Q$3-1-1)*$Q$4+X62+1,0*$Q$5+W62+1)="",0,IF(INDEX($B$6:$M$17,($Q$3-1-1)*$Q$4+X62+1,0*$Q$5+W62+1)&gt;=0,ABS(INDEX($B$6:$M$17,($Q$3-1-1)*$Q$4+X62+1,0*$Q$5+W62+1))/$Q$19*$Q$13,0)))</f>
        <v>0.22550000000000001</v>
      </c>
      <c r="AL62">
        <f>IF(V62=1,0,IF(INDEX($B$6:$M$17,($Q$3-1-1)*$Q$4+X62+1,0*$Q$5+W62+1)="",0,IF(INDEX($B$6:$M$17,($Q$3-1-1)*$Q$4+X62+1,0*$Q$5+W62+1)&lt;0,ABS(INDEX($B$6:$M$17,($Q$3-1-1)*$Q$4+X62+1,0*$Q$5+W62+1))/$Q$19*$Q$13,0)))</f>
        <v>0</v>
      </c>
      <c r="AM62">
        <f>IF(V62=1,0,IF(INDEX($B$6:$M$17,($Q$3-1-2)*$Q$4+X62+1,0*$Q$5+W62+1)="",0,IF(INDEX($B$6:$M$17,($Q$3-1-2)*$Q$4+X62+1,0*$Q$5+W62+1)&gt;=0,ABS(INDEX($B$6:$M$17,($Q$3-1-2)*$Q$4+X62+1,0*$Q$5+W62+1))/$Q$19*$Q$13,0)))</f>
        <v>3.4166666666666665E-2</v>
      </c>
      <c r="AN62">
        <f>IF(V62=1,0,IF(INDEX($B$6:$M$17,($Q$3-1-2)*$Q$4+X62+1,0*$Q$5+W62+1)="",0,IF(INDEX($B$6:$M$17,($Q$3-1-2)*$Q$4+X62+1,0*$Q$5+W62+1)&lt;0,ABS(INDEX($B$6:$M$17,($Q$3-1-2)*$Q$4+X62+1,0*$Q$5+W62+1))/$Q$19*$Q$13,0)))</f>
        <v>0</v>
      </c>
      <c r="AO62">
        <f>IF(V62=1,0,IF(INDEX($B$6:$M$17,($Q$3-1-3)*$Q$4+X62+1,0*$Q$5+W62+1)="",0,IF(INDEX($B$6:$M$17,($Q$3-1-3)*$Q$4+X62+1,0*$Q$5+W62+1)&gt;=0,ABS(INDEX($B$6:$M$17,($Q$3-1-3)*$Q$4+X62+1,0*$Q$5+W62+1))/$Q$19*$Q$13,0)))</f>
        <v>0</v>
      </c>
      <c r="AP62">
        <f>IF(V62=1,0,IF(INDEX($B$6:$M$17,($Q$3-1-3)*$Q$4+X62+1,0*$Q$5+W62+1)="",0,IF(INDEX($B$6:$M$17,($Q$3-1-3)*$Q$4+X62+1,0*$Q$5+W62+1)&lt;0,ABS(INDEX($B$6:$M$17,($Q$3-1-3)*$Q$4+X62+1,0*$Q$5+W62+1))/$Q$19*$Q$13,0)))</f>
        <v>0.16400000000000001</v>
      </c>
      <c r="AR62" t="str">
        <f>IF(V62=1,"",IF(INDEX($B$6:$M$17,($Q$3-1-0)*$Q$4+X62+1,0*$Q$5+W62+1)="","",IF(INDEX($B$6:$M$17,($Q$3-1-0)*$Q$4+X62+1,0*$Q$5+W62+1)&gt;=0,TEXT(INDEX($B$6:$M$17,($Q$3-1-0)*$Q$4+X62+1,0*$Q$5+W62+1),"+0;-0;0"),"")))</f>
        <v/>
      </c>
      <c r="AS62" t="str">
        <f>IF(V62=1,"",IF(INDEX($B$6:$M$17,($Q$3-1-0)*$Q$4+X62+1,0*$Q$5+W62+1)="","",IF(INDEX($B$6:$M$17,($Q$3-1-0)*$Q$4+X62+1,0*$Q$5+W62+1)&lt;0,TEXT(INDEX($B$6:$M$17,($Q$3-1-0)*$Q$4+X62+1,0*$Q$5+W62+1),"+0;-0;0"),"")))</f>
        <v>-2</v>
      </c>
      <c r="AT62" t="str">
        <f>IF(V62=1,"",IF(INDEX($B$6:$M$17,($Q$3-1-1)*$Q$4+X62+1,0*$Q$5+W62+1)="","",IF(INDEX($B$6:$M$17,($Q$3-1-1)*$Q$4+X62+1,0*$Q$5+W62+1)&gt;=0,TEXT(INDEX($B$6:$M$17,($Q$3-1-1)*$Q$4+X62+1,0*$Q$5+W62+1),"+0;-0;0"),"")))</f>
        <v>+17</v>
      </c>
      <c r="AU62" t="str">
        <f>IF(V62=1,"",IF(INDEX($B$6:$M$17,($Q$3-1-1)*$Q$4+X62+1,0*$Q$5+W62+1)="","",IF(INDEX($B$6:$M$17,($Q$3-1-1)*$Q$4+X62+1,0*$Q$5+W62+1)&lt;0,TEXT(INDEX($B$6:$M$17,($Q$3-1-1)*$Q$4+X62+1,0*$Q$5+W62+1),"+0;-0;0"),"")))</f>
        <v/>
      </c>
      <c r="AV62" t="str">
        <f>IF(V62=1,"",IF(INDEX($B$6:$M$17,($Q$3-1-2)*$Q$4+X62+1,0*$Q$5+W62+1)="","",IF(INDEX($B$6:$M$17,($Q$3-1-2)*$Q$4+X62+1,0*$Q$5+W62+1)&gt;=0,TEXT(INDEX($B$6:$M$17,($Q$3-1-2)*$Q$4+X62+1,0*$Q$5+W62+1),"+0;-0;0"),"")))</f>
        <v>+3</v>
      </c>
      <c r="AW62" t="str">
        <f>IF(V62=1,"",IF(INDEX($B$6:$M$17,($Q$3-1-2)*$Q$4+X62+1,0*$Q$5+W62+1)="","",IF(INDEX($B$6:$M$17,($Q$3-1-2)*$Q$4+X62+1,0*$Q$5+W62+1)&lt;0,TEXT(INDEX($B$6:$M$17,($Q$3-1-2)*$Q$4+X62+1,0*$Q$5+W62+1),"+0;-0;0"),"")))</f>
        <v/>
      </c>
      <c r="AX62" t="str">
        <f>IF(V62=1,"",IF(INDEX($B$6:$M$17,($Q$3-1-3)*$Q$4+X62+1,0*$Q$5+W62+1)="","",IF(INDEX($B$6:$M$17,($Q$3-1-3)*$Q$4+X62+1,0*$Q$5+W62+1)&gt;=0,TEXT(INDEX($B$6:$M$17,($Q$3-1-3)*$Q$4+X62+1,0*$Q$5+W62+1),"+0;-0;0"),"")))</f>
        <v/>
      </c>
      <c r="AY62" t="str">
        <f>IF(V62=1,"",IF(INDEX($B$6:$M$17,($Q$3-1-3)*$Q$4+X62+1,0*$Q$5+W62+1)="","",IF(INDEX($B$6:$M$17,($Q$3-1-3)*$Q$4+X62+1,0*$Q$5+W62+1)&lt;0,TEXT(INDEX($B$6:$M$17,($Q$3-1-3)*$Q$4+X62+1,0*$Q$5+W62+1),"+0;-0;0"),"")))</f>
        <v>-12</v>
      </c>
    </row>
    <row r="63" spans="16:60" x14ac:dyDescent="0.35">
      <c r="P63">
        <v>40</v>
      </c>
      <c r="Q63">
        <f>P63-$Q$12</f>
        <v>37</v>
      </c>
      <c r="R63">
        <f>IF(Q63&lt;=0,-1,INT((Q63-1)/($Q$10+$Q$11)))</f>
        <v>2</v>
      </c>
      <c r="S63">
        <f>IF(Q63&lt;=0,-1,MOD(Q63-1,($Q$10+$Q$11)))</f>
        <v>10</v>
      </c>
      <c r="T63">
        <f>IF(OR(S63&lt;0,S63&gt;=$Q$10),-1,INT(S63/$Q$9))</f>
        <v>10</v>
      </c>
      <c r="U63">
        <f>IF(OR(S63&lt;0,S63&gt;=$Q$10),-1,MOD(S63,$Q$9))</f>
        <v>0</v>
      </c>
      <c r="V63">
        <f>IF(OR(Q63&lt;=0,S63&lt;0,S63&gt;=$Q$10,R63&gt;=$Q$7),1,0)</f>
        <v>0</v>
      </c>
      <c r="W63">
        <f>IF(V63=1,-1,T63)</f>
        <v>10</v>
      </c>
      <c r="X63">
        <f>IF(V63=1,-1,R63)</f>
        <v>2</v>
      </c>
      <c r="Y63" t="str">
        <f>IF(V63=1,"",IF(AND(MOD(W63,3)=0,U63=INT(($Q$9-1)/2)),INDEX($B$5:$M$5,W63+1),""))</f>
        <v/>
      </c>
      <c r="Z63" t="e">
        <f>IF(V63=1,NA(),IF(INDEX($B$6:$M$17,($Q$3-1-0)*$Q$4+X63+1,0*$Q$5+W63+1)="",NA(),IF(INDEX($B$6:$M$17,($Q$3-1-0)*$Q$4+X63+1,0*$Q$5+W63+1)&gt;=0,0+(INDEX($B$6:$M$17,($Q$3-1-0)*$Q$4+X63+1,0*$Q$5+W63+1)-$Q$17)/$Q$19*$Q$13,NA())))</f>
        <v>#N/A</v>
      </c>
      <c r="AA63">
        <f>IF(V63=1,NA(),IF(INDEX($B$6:$M$17,($Q$3-1-0)*$Q$4+X63+1,0*$Q$5+W63+1)="",NA(),IF(INDEX($B$6:$M$17,($Q$3-1-0)*$Q$4+X63+1,0*$Q$5+W63+1)&lt;0,0+(INDEX($B$6:$M$17,($Q$3-1-0)*$Q$4+X63+1,0*$Q$5+W63+1)-$Q$17)/$Q$19*$Q$13,NA())))</f>
        <v>0.13666666666666666</v>
      </c>
      <c r="AB63" t="e">
        <f>IF(V63=1,NA(),IF(INDEX($B$6:$M$17,($Q$3-1-1)*$Q$4+X63+1,0*$Q$5+W63+1)="",NA(),IF(INDEX($B$6:$M$17,($Q$3-1-1)*$Q$4+X63+1,0*$Q$5+W63+1)&gt;=0,1+(INDEX($B$6:$M$17,($Q$3-1-1)*$Q$4+X63+1,0*$Q$5+W63+1)-$Q$17)/$Q$19*$Q$13,NA())))</f>
        <v>#N/A</v>
      </c>
      <c r="AC63">
        <f>IF(V63=1,NA(),IF(INDEX($B$6:$M$17,($Q$3-1-1)*$Q$4+X63+1,0*$Q$5+W63+1)="",NA(),IF(INDEX($B$6:$M$17,($Q$3-1-1)*$Q$4+X63+1,0*$Q$5+W63+1)&lt;0,1+(INDEX($B$6:$M$17,($Q$3-1-1)*$Q$4+X63+1,0*$Q$5+W63+1)-$Q$17)/$Q$19*$Q$13,NA())))</f>
        <v>1.3895</v>
      </c>
      <c r="AD63" t="e">
        <f>IF(V63=1,NA(),IF(INDEX($B$6:$M$17,($Q$3-1-2)*$Q$4+X63+1,0*$Q$5+W63+1)="",NA(),IF(INDEX($B$6:$M$17,($Q$3-1-2)*$Q$4+X63+1,0*$Q$5+W63+1)&gt;=0,2+(INDEX($B$6:$M$17,($Q$3-1-2)*$Q$4+X63+1,0*$Q$5+W63+1)-$Q$17)/$Q$19*$Q$13,NA())))</f>
        <v>#N/A</v>
      </c>
      <c r="AE63">
        <f>IF(V63=1,NA(),IF(INDEX($B$6:$M$17,($Q$3-1-2)*$Q$4+X63+1,0*$Q$5+W63+1)="",NA(),IF(INDEX($B$6:$M$17,($Q$3-1-2)*$Q$4+X63+1,0*$Q$5+W63+1)&lt;0,2+(INDEX($B$6:$M$17,($Q$3-1-2)*$Q$4+X63+1,0*$Q$5+W63+1)-$Q$17)/$Q$19*$Q$13,NA())))</f>
        <v>2.1981666666666668</v>
      </c>
      <c r="AF63">
        <f>IF(V63=1,NA(),IF(INDEX($B$6:$M$17,($Q$3-1-3)*$Q$4+X63+1,0*$Q$5+W63+1)="",NA(),IF(INDEX($B$6:$M$17,($Q$3-1-3)*$Q$4+X63+1,0*$Q$5+W63+1)&gt;=0,3+(INDEX($B$6:$M$17,($Q$3-1-3)*$Q$4+X63+1,0*$Q$5+W63+1)-$Q$17)/$Q$19*$Q$13,NA())))</f>
        <v>3.4510000000000001</v>
      </c>
      <c r="AG63" t="e">
        <f>IF(V63=1,NA(),IF(INDEX($B$6:$M$17,($Q$3-1-3)*$Q$4+X63+1,0*$Q$5+W63+1)="",NA(),IF(INDEX($B$6:$M$17,($Q$3-1-3)*$Q$4+X63+1,0*$Q$5+W63+1)&lt;0,3+(INDEX($B$6:$M$17,($Q$3-1-3)*$Q$4+X63+1,0*$Q$5+W63+1)-$Q$17)/$Q$19*$Q$13,NA())))</f>
        <v>#N/A</v>
      </c>
      <c r="AI63">
        <f>IF(V63=1,0,IF(INDEX($B$6:$M$17,($Q$3-1-0)*$Q$4+X63+1,0*$Q$5+W63+1)="",0,IF(INDEX($B$6:$M$17,($Q$3-1-0)*$Q$4+X63+1,0*$Q$5+W63+1)&gt;=0,ABS(INDEX($B$6:$M$17,($Q$3-1-0)*$Q$4+X63+1,0*$Q$5+W63+1))/$Q$19*$Q$13,0)))</f>
        <v>0</v>
      </c>
      <c r="AJ63">
        <f>IF(V63=1,0,IF(INDEX($B$6:$M$17,($Q$3-1-0)*$Q$4+X63+1,0*$Q$5+W63+1)="",0,IF(INDEX($B$6:$M$17,($Q$3-1-0)*$Q$4+X63+1,0*$Q$5+W63+1)&lt;0,ABS(INDEX($B$6:$M$17,($Q$3-1-0)*$Q$4+X63+1,0*$Q$5+W63+1))/$Q$19*$Q$13,0)))</f>
        <v>0.27333333333333332</v>
      </c>
      <c r="AK63">
        <f>IF(V63=1,0,IF(INDEX($B$6:$M$17,($Q$3-1-1)*$Q$4+X63+1,0*$Q$5+W63+1)="",0,IF(INDEX($B$6:$M$17,($Q$3-1-1)*$Q$4+X63+1,0*$Q$5+W63+1)&gt;=0,ABS(INDEX($B$6:$M$17,($Q$3-1-1)*$Q$4+X63+1,0*$Q$5+W63+1))/$Q$19*$Q$13,0)))</f>
        <v>0</v>
      </c>
      <c r="AL63">
        <f>IF(V63=1,0,IF(INDEX($B$6:$M$17,($Q$3-1-1)*$Q$4+X63+1,0*$Q$5+W63+1)="",0,IF(INDEX($B$6:$M$17,($Q$3-1-1)*$Q$4+X63+1,0*$Q$5+W63+1)&lt;0,ABS(INDEX($B$6:$M$17,($Q$3-1-1)*$Q$4+X63+1,0*$Q$5+W63+1))/$Q$19*$Q$13,0)))</f>
        <v>2.0500000000000001E-2</v>
      </c>
      <c r="AM63">
        <f>IF(V63=1,0,IF(INDEX($B$6:$M$17,($Q$3-1-2)*$Q$4+X63+1,0*$Q$5+W63+1)="",0,IF(INDEX($B$6:$M$17,($Q$3-1-2)*$Q$4+X63+1,0*$Q$5+W63+1)&gt;=0,ABS(INDEX($B$6:$M$17,($Q$3-1-2)*$Q$4+X63+1,0*$Q$5+W63+1))/$Q$19*$Q$13,0)))</f>
        <v>0</v>
      </c>
      <c r="AN63">
        <f>IF(V63=1,0,IF(INDEX($B$6:$M$17,($Q$3-1-2)*$Q$4+X63+1,0*$Q$5+W63+1)="",0,IF(INDEX($B$6:$M$17,($Q$3-1-2)*$Q$4+X63+1,0*$Q$5+W63+1)&lt;0,ABS(INDEX($B$6:$M$17,($Q$3-1-2)*$Q$4+X63+1,0*$Q$5+W63+1))/$Q$19*$Q$13,0)))</f>
        <v>0.21183333333333335</v>
      </c>
      <c r="AO63">
        <f>IF(V63=1,0,IF(INDEX($B$6:$M$17,($Q$3-1-3)*$Q$4+X63+1,0*$Q$5+W63+1)="",0,IF(INDEX($B$6:$M$17,($Q$3-1-3)*$Q$4+X63+1,0*$Q$5+W63+1)&gt;=0,ABS(INDEX($B$6:$M$17,($Q$3-1-3)*$Q$4+X63+1,0*$Q$5+W63+1))/$Q$19*$Q$13,0)))</f>
        <v>4.1000000000000002E-2</v>
      </c>
      <c r="AP63">
        <f>IF(V63=1,0,IF(INDEX($B$6:$M$17,($Q$3-1-3)*$Q$4+X63+1,0*$Q$5+W63+1)="",0,IF(INDEX($B$6:$M$17,($Q$3-1-3)*$Q$4+X63+1,0*$Q$5+W63+1)&lt;0,ABS(INDEX($B$6:$M$17,($Q$3-1-3)*$Q$4+X63+1,0*$Q$5+W63+1))/$Q$19*$Q$13,0)))</f>
        <v>0</v>
      </c>
      <c r="AR63" t="str">
        <f>IF(V63=1,"",IF(INDEX($B$6:$M$17,($Q$3-1-0)*$Q$4+X63+1,0*$Q$5+W63+1)="","",IF(INDEX($B$6:$M$17,($Q$3-1-0)*$Q$4+X63+1,0*$Q$5+W63+1)&gt;=0,TEXT(INDEX($B$6:$M$17,($Q$3-1-0)*$Q$4+X63+1,0*$Q$5+W63+1),"+0;-0;0"),"")))</f>
        <v/>
      </c>
      <c r="AS63" t="str">
        <f>IF(V63=1,"",IF(INDEX($B$6:$M$17,($Q$3-1-0)*$Q$4+X63+1,0*$Q$5+W63+1)="","",IF(INDEX($B$6:$M$17,($Q$3-1-0)*$Q$4+X63+1,0*$Q$5+W63+1)&lt;0,TEXT(INDEX($B$6:$M$17,($Q$3-1-0)*$Q$4+X63+1,0*$Q$5+W63+1),"+0;-0;0"),"")))</f>
        <v>-20</v>
      </c>
      <c r="AT63" t="str">
        <f>IF(V63=1,"",IF(INDEX($B$6:$M$17,($Q$3-1-1)*$Q$4+X63+1,0*$Q$5+W63+1)="","",IF(INDEX($B$6:$M$17,($Q$3-1-1)*$Q$4+X63+1,0*$Q$5+W63+1)&gt;=0,TEXT(INDEX($B$6:$M$17,($Q$3-1-1)*$Q$4+X63+1,0*$Q$5+W63+1),"+0;-0;0"),"")))</f>
        <v/>
      </c>
      <c r="AU63" t="str">
        <f>IF(V63=1,"",IF(INDEX($B$6:$M$17,($Q$3-1-1)*$Q$4+X63+1,0*$Q$5+W63+1)="","",IF(INDEX($B$6:$M$17,($Q$3-1-1)*$Q$4+X63+1,0*$Q$5+W63+1)&lt;0,TEXT(INDEX($B$6:$M$17,($Q$3-1-1)*$Q$4+X63+1,0*$Q$5+W63+1),"+0;-0;0"),"")))</f>
        <v>-2</v>
      </c>
      <c r="AV63" t="str">
        <f>IF(V63=1,"",IF(INDEX($B$6:$M$17,($Q$3-1-2)*$Q$4+X63+1,0*$Q$5+W63+1)="","",IF(INDEX($B$6:$M$17,($Q$3-1-2)*$Q$4+X63+1,0*$Q$5+W63+1)&gt;=0,TEXT(INDEX($B$6:$M$17,($Q$3-1-2)*$Q$4+X63+1,0*$Q$5+W63+1),"+0;-0;0"),"")))</f>
        <v/>
      </c>
      <c r="AW63" t="str">
        <f>IF(V63=1,"",IF(INDEX($B$6:$M$17,($Q$3-1-2)*$Q$4+X63+1,0*$Q$5+W63+1)="","",IF(INDEX($B$6:$M$17,($Q$3-1-2)*$Q$4+X63+1,0*$Q$5+W63+1)&lt;0,TEXT(INDEX($B$6:$M$17,($Q$3-1-2)*$Q$4+X63+1,0*$Q$5+W63+1),"+0;-0;0"),"")))</f>
        <v>-16</v>
      </c>
      <c r="AX63" t="str">
        <f>IF(V63=1,"",IF(INDEX($B$6:$M$17,($Q$3-1-3)*$Q$4+X63+1,0*$Q$5+W63+1)="","",IF(INDEX($B$6:$M$17,($Q$3-1-3)*$Q$4+X63+1,0*$Q$5+W63+1)&gt;=0,TEXT(INDEX($B$6:$M$17,($Q$3-1-3)*$Q$4+X63+1,0*$Q$5+W63+1),"+0;-0;0"),"")))</f>
        <v>+3</v>
      </c>
      <c r="AY63" t="str">
        <f>IF(V63=1,"",IF(INDEX($B$6:$M$17,($Q$3-1-3)*$Q$4+X63+1,0*$Q$5+W63+1)="","",IF(INDEX($B$6:$M$17,($Q$3-1-3)*$Q$4+X63+1,0*$Q$5+W63+1)&lt;0,TEXT(INDEX($B$6:$M$17,($Q$3-1-3)*$Q$4+X63+1,0*$Q$5+W63+1),"+0;-0;0"),"")))</f>
        <v/>
      </c>
    </row>
    <row r="64" spans="16:60" x14ac:dyDescent="0.35">
      <c r="P64">
        <v>41</v>
      </c>
      <c r="Q64">
        <f>P64-$Q$12</f>
        <v>38</v>
      </c>
      <c r="R64">
        <f>IF(Q64&lt;=0,-1,INT((Q64-1)/($Q$10+$Q$11)))</f>
        <v>2</v>
      </c>
      <c r="S64">
        <f>IF(Q64&lt;=0,-1,MOD(Q64-1,($Q$10+$Q$11)))</f>
        <v>11</v>
      </c>
      <c r="T64">
        <f>IF(OR(S64&lt;0,S64&gt;=$Q$10),-1,INT(S64/$Q$9))</f>
        <v>11</v>
      </c>
      <c r="U64">
        <f>IF(OR(S64&lt;0,S64&gt;=$Q$10),-1,MOD(S64,$Q$9))</f>
        <v>0</v>
      </c>
      <c r="V64">
        <f>IF(OR(Q64&lt;=0,S64&lt;0,S64&gt;=$Q$10,R64&gt;=$Q$7),1,0)</f>
        <v>0</v>
      </c>
      <c r="W64">
        <f>IF(V64=1,-1,T64)</f>
        <v>11</v>
      </c>
      <c r="X64">
        <f>IF(V64=1,-1,R64)</f>
        <v>2</v>
      </c>
      <c r="Y64" t="str">
        <f>IF(V64=1,"",IF(AND(MOD(W64,3)=0,U64=INT(($Q$9-1)/2)),INDEX($B$5:$M$5,W64+1),""))</f>
        <v/>
      </c>
      <c r="Z64" t="e">
        <f>IF(V64=1,NA(),IF(INDEX($B$6:$M$17,($Q$3-1-0)*$Q$4+X64+1,0*$Q$5+W64+1)="",NA(),IF(INDEX($B$6:$M$17,($Q$3-1-0)*$Q$4+X64+1,0*$Q$5+W64+1)&gt;=0,0+(INDEX($B$6:$M$17,($Q$3-1-0)*$Q$4+X64+1,0*$Q$5+W64+1)-$Q$17)/$Q$19*$Q$13,NA())))</f>
        <v>#N/A</v>
      </c>
      <c r="AA64">
        <f>IF(V64=1,NA(),IF(INDEX($B$6:$M$17,($Q$3-1-0)*$Q$4+X64+1,0*$Q$5+W64+1)="",NA(),IF(INDEX($B$6:$M$17,($Q$3-1-0)*$Q$4+X64+1,0*$Q$5+W64+1)&lt;0,0+(INDEX($B$6:$M$17,($Q$3-1-0)*$Q$4+X64+1,0*$Q$5+W64+1)-$Q$17)/$Q$19*$Q$13,NA())))</f>
        <v>0.34166666666666667</v>
      </c>
      <c r="AB64">
        <f>IF(V64=1,NA(),IF(INDEX($B$6:$M$17,($Q$3-1-1)*$Q$4+X64+1,0*$Q$5+W64+1)="",NA(),IF(INDEX($B$6:$M$17,($Q$3-1-1)*$Q$4+X64+1,0*$Q$5+W64+1)&gt;=0,1+(INDEX($B$6:$M$17,($Q$3-1-1)*$Q$4+X64+1,0*$Q$5+W64+1)-$Q$17)/$Q$19*$Q$13,NA())))</f>
        <v>1.5945</v>
      </c>
      <c r="AC64" t="e">
        <f>IF(V64=1,NA(),IF(INDEX($B$6:$M$17,($Q$3-1-1)*$Q$4+X64+1,0*$Q$5+W64+1)="",NA(),IF(INDEX($B$6:$M$17,($Q$3-1-1)*$Q$4+X64+1,0*$Q$5+W64+1)&lt;0,1+(INDEX($B$6:$M$17,($Q$3-1-1)*$Q$4+X64+1,0*$Q$5+W64+1)-$Q$17)/$Q$19*$Q$13,NA())))</f>
        <v>#N/A</v>
      </c>
      <c r="AD64" t="e">
        <f>IF(V64=1,NA(),IF(INDEX($B$6:$M$17,($Q$3-1-2)*$Q$4+X64+1,0*$Q$5+W64+1)="",NA(),IF(INDEX($B$6:$M$17,($Q$3-1-2)*$Q$4+X64+1,0*$Q$5+W64+1)&gt;=0,2+(INDEX($B$6:$M$17,($Q$3-1-2)*$Q$4+X64+1,0*$Q$5+W64+1)-$Q$17)/$Q$19*$Q$13,NA())))</f>
        <v>#N/A</v>
      </c>
      <c r="AE64">
        <f>IF(V64=1,NA(),IF(INDEX($B$6:$M$17,($Q$3-1-2)*$Q$4+X64+1,0*$Q$5+W64+1)="",NA(),IF(INDEX($B$6:$M$17,($Q$3-1-2)*$Q$4+X64+1,0*$Q$5+W64+1)&lt;0,2+(INDEX($B$6:$M$17,($Q$3-1-2)*$Q$4+X64+1,0*$Q$5+W64+1)-$Q$17)/$Q$19*$Q$13,NA())))</f>
        <v>2.4031666666666665</v>
      </c>
      <c r="AF64" t="e">
        <f>IF(V64=1,NA(),IF(INDEX($B$6:$M$17,($Q$3-1-3)*$Q$4+X64+1,0*$Q$5+W64+1)="",NA(),IF(INDEX($B$6:$M$17,($Q$3-1-3)*$Q$4+X64+1,0*$Q$5+W64+1)&gt;=0,3+(INDEX($B$6:$M$17,($Q$3-1-3)*$Q$4+X64+1,0*$Q$5+W64+1)-$Q$17)/$Q$19*$Q$13,NA())))</f>
        <v>#N/A</v>
      </c>
      <c r="AG64">
        <f>IF(V64=1,NA(),IF(INDEX($B$6:$M$17,($Q$3-1-3)*$Q$4+X64+1,0*$Q$5+W64+1)="",NA(),IF(INDEX($B$6:$M$17,($Q$3-1-3)*$Q$4+X64+1,0*$Q$5+W64+1)&lt;0,3+(INDEX($B$6:$M$17,($Q$3-1-3)*$Q$4+X64+1,0*$Q$5+W64+1)-$Q$17)/$Q$19*$Q$13,NA())))</f>
        <v>3.2050000000000001</v>
      </c>
      <c r="AI64">
        <f>IF(V64=1,0,IF(INDEX($B$6:$M$17,($Q$3-1-0)*$Q$4+X64+1,0*$Q$5+W64+1)="",0,IF(INDEX($B$6:$M$17,($Q$3-1-0)*$Q$4+X64+1,0*$Q$5+W64+1)&gt;=0,ABS(INDEX($B$6:$M$17,($Q$3-1-0)*$Q$4+X64+1,0*$Q$5+W64+1))/$Q$19*$Q$13,0)))</f>
        <v>0</v>
      </c>
      <c r="AJ64">
        <f>IF(V64=1,0,IF(INDEX($B$6:$M$17,($Q$3-1-0)*$Q$4+X64+1,0*$Q$5+W64+1)="",0,IF(INDEX($B$6:$M$17,($Q$3-1-0)*$Q$4+X64+1,0*$Q$5+W64+1)&lt;0,ABS(INDEX($B$6:$M$17,($Q$3-1-0)*$Q$4+X64+1,0*$Q$5+W64+1))/$Q$19*$Q$13,0)))</f>
        <v>6.8333333333333329E-2</v>
      </c>
      <c r="AK64">
        <f>IF(V64=1,0,IF(INDEX($B$6:$M$17,($Q$3-1-1)*$Q$4+X64+1,0*$Q$5+W64+1)="",0,IF(INDEX($B$6:$M$17,($Q$3-1-1)*$Q$4+X64+1,0*$Q$5+W64+1)&gt;=0,ABS(INDEX($B$6:$M$17,($Q$3-1-1)*$Q$4+X64+1,0*$Q$5+W64+1))/$Q$19*$Q$13,0)))</f>
        <v>0.1845</v>
      </c>
      <c r="AL64">
        <f>IF(V64=1,0,IF(INDEX($B$6:$M$17,($Q$3-1-1)*$Q$4+X64+1,0*$Q$5+W64+1)="",0,IF(INDEX($B$6:$M$17,($Q$3-1-1)*$Q$4+X64+1,0*$Q$5+W64+1)&lt;0,ABS(INDEX($B$6:$M$17,($Q$3-1-1)*$Q$4+X64+1,0*$Q$5+W64+1))/$Q$19*$Q$13,0)))</f>
        <v>0</v>
      </c>
      <c r="AM64">
        <f>IF(V64=1,0,IF(INDEX($B$6:$M$17,($Q$3-1-2)*$Q$4+X64+1,0*$Q$5+W64+1)="",0,IF(INDEX($B$6:$M$17,($Q$3-1-2)*$Q$4+X64+1,0*$Q$5+W64+1)&gt;=0,ABS(INDEX($B$6:$M$17,($Q$3-1-2)*$Q$4+X64+1,0*$Q$5+W64+1))/$Q$19*$Q$13,0)))</f>
        <v>0</v>
      </c>
      <c r="AN64">
        <f>IF(V64=1,0,IF(INDEX($B$6:$M$17,($Q$3-1-2)*$Q$4+X64+1,0*$Q$5+W64+1)="",0,IF(INDEX($B$6:$M$17,($Q$3-1-2)*$Q$4+X64+1,0*$Q$5+W64+1)&lt;0,ABS(INDEX($B$6:$M$17,($Q$3-1-2)*$Q$4+X64+1,0*$Q$5+W64+1))/$Q$19*$Q$13,0)))</f>
        <v>6.8333333333333328E-3</v>
      </c>
      <c r="AO64">
        <f>IF(V64=1,0,IF(INDEX($B$6:$M$17,($Q$3-1-3)*$Q$4+X64+1,0*$Q$5+W64+1)="",0,IF(INDEX($B$6:$M$17,($Q$3-1-3)*$Q$4+X64+1,0*$Q$5+W64+1)&gt;=0,ABS(INDEX($B$6:$M$17,($Q$3-1-3)*$Q$4+X64+1,0*$Q$5+W64+1))/$Q$19*$Q$13,0)))</f>
        <v>0</v>
      </c>
      <c r="AP64">
        <f>IF(V64=1,0,IF(INDEX($B$6:$M$17,($Q$3-1-3)*$Q$4+X64+1,0*$Q$5+W64+1)="",0,IF(INDEX($B$6:$M$17,($Q$3-1-3)*$Q$4+X64+1,0*$Q$5+W64+1)&lt;0,ABS(INDEX($B$6:$M$17,($Q$3-1-3)*$Q$4+X64+1,0*$Q$5+W64+1))/$Q$19*$Q$13,0)))</f>
        <v>0.20499999999999999</v>
      </c>
      <c r="AR64" t="str">
        <f>IF(V64=1,"",IF(INDEX($B$6:$M$17,($Q$3-1-0)*$Q$4+X64+1,0*$Q$5+W64+1)="","",IF(INDEX($B$6:$M$17,($Q$3-1-0)*$Q$4+X64+1,0*$Q$5+W64+1)&gt;=0,TEXT(INDEX($B$6:$M$17,($Q$3-1-0)*$Q$4+X64+1,0*$Q$5+W64+1),"+0;-0;0"),"")))</f>
        <v/>
      </c>
      <c r="AS64" t="str">
        <f>IF(V64=1,"",IF(INDEX($B$6:$M$17,($Q$3-1-0)*$Q$4+X64+1,0*$Q$5+W64+1)="","",IF(INDEX($B$6:$M$17,($Q$3-1-0)*$Q$4+X64+1,0*$Q$5+W64+1)&lt;0,TEXT(INDEX($B$6:$M$17,($Q$3-1-0)*$Q$4+X64+1,0*$Q$5+W64+1),"+0;-0;0"),"")))</f>
        <v>-5</v>
      </c>
      <c r="AT64" t="str">
        <f>IF(V64=1,"",IF(INDEX($B$6:$M$17,($Q$3-1-1)*$Q$4+X64+1,0*$Q$5+W64+1)="","",IF(INDEX($B$6:$M$17,($Q$3-1-1)*$Q$4+X64+1,0*$Q$5+W64+1)&gt;=0,TEXT(INDEX($B$6:$M$17,($Q$3-1-1)*$Q$4+X64+1,0*$Q$5+W64+1),"+0;-0;0"),"")))</f>
        <v>+14</v>
      </c>
      <c r="AU64" t="str">
        <f>IF(V64=1,"",IF(INDEX($B$6:$M$17,($Q$3-1-1)*$Q$4+X64+1,0*$Q$5+W64+1)="","",IF(INDEX($B$6:$M$17,($Q$3-1-1)*$Q$4+X64+1,0*$Q$5+W64+1)&lt;0,TEXT(INDEX($B$6:$M$17,($Q$3-1-1)*$Q$4+X64+1,0*$Q$5+W64+1),"+0;-0;0"),"")))</f>
        <v/>
      </c>
      <c r="AV64" t="str">
        <f>IF(V64=1,"",IF(INDEX($B$6:$M$17,($Q$3-1-2)*$Q$4+X64+1,0*$Q$5+W64+1)="","",IF(INDEX($B$6:$M$17,($Q$3-1-2)*$Q$4+X64+1,0*$Q$5+W64+1)&gt;=0,TEXT(INDEX($B$6:$M$17,($Q$3-1-2)*$Q$4+X64+1,0*$Q$5+W64+1),"+0;-0;0"),"")))</f>
        <v/>
      </c>
      <c r="AW64" t="str">
        <f>IF(V64=1,"",IF(INDEX($B$6:$M$17,($Q$3-1-2)*$Q$4+X64+1,0*$Q$5+W64+1)="","",IF(INDEX($B$6:$M$17,($Q$3-1-2)*$Q$4+X64+1,0*$Q$5+W64+1)&lt;0,TEXT(INDEX($B$6:$M$17,($Q$3-1-2)*$Q$4+X64+1,0*$Q$5+W64+1),"+0;-0;0"),"")))</f>
        <v>-1</v>
      </c>
      <c r="AX64" t="str">
        <f>IF(V64=1,"",IF(INDEX($B$6:$M$17,($Q$3-1-3)*$Q$4+X64+1,0*$Q$5+W64+1)="","",IF(INDEX($B$6:$M$17,($Q$3-1-3)*$Q$4+X64+1,0*$Q$5+W64+1)&gt;=0,TEXT(INDEX($B$6:$M$17,($Q$3-1-3)*$Q$4+X64+1,0*$Q$5+W64+1),"+0;-0;0"),"")))</f>
        <v/>
      </c>
      <c r="AY64" t="str">
        <f>IF(V64=1,"",IF(INDEX($B$6:$M$17,($Q$3-1-3)*$Q$4+X64+1,0*$Q$5+W64+1)="","",IF(INDEX($B$6:$M$17,($Q$3-1-3)*$Q$4+X64+1,0*$Q$5+W64+1)&lt;0,TEXT(INDEX($B$6:$M$17,($Q$3-1-3)*$Q$4+X64+1,0*$Q$5+W64+1),"+0;-0;0"),"")))</f>
        <v>-15</v>
      </c>
    </row>
  </sheetData>
  <mergeCells count="1">
    <mergeCell ref="B4:M4"/>
  </mergeCells>
  <printOptions horizontalCentered="1" verticalCentered="1"/>
  <pageMargins left="0.25" right="0.25" top="0.25" bottom="0.25" header="0.125" footer="0.125"/>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3FC3C-CC26-4DC4-9DD3-437ED6789800}">
  <sheetPr>
    <pageSetUpPr fitToPage="1"/>
  </sheetPr>
  <dimension ref="A1:CF77"/>
  <sheetViews>
    <sheetView showGridLines="0" workbookViewId="0"/>
  </sheetViews>
  <sheetFormatPr defaultRowHeight="14.5" x14ac:dyDescent="0.35"/>
  <cols>
    <col min="1" max="1" width="18.6328125" customWidth="1"/>
    <col min="29" max="29" width="8.90625" bestFit="1" customWidth="1"/>
  </cols>
  <sheetData>
    <row r="1" spans="1:29" ht="17" x14ac:dyDescent="0.4">
      <c r="A1" s="2" t="s">
        <v>108</v>
      </c>
    </row>
    <row r="2" spans="1:29" x14ac:dyDescent="0.35">
      <c r="A2" s="3" t="s">
        <v>1</v>
      </c>
      <c r="AB2" s="1" t="s">
        <v>36</v>
      </c>
    </row>
    <row r="3" spans="1:29" x14ac:dyDescent="0.35">
      <c r="AB3" t="s">
        <v>37</v>
      </c>
      <c r="AC3">
        <v>6</v>
      </c>
    </row>
    <row r="4" spans="1:29" x14ac:dyDescent="0.35">
      <c r="B4" s="4" t="s">
        <v>109</v>
      </c>
      <c r="C4" s="4"/>
      <c r="D4" s="4"/>
      <c r="E4" s="4"/>
      <c r="F4" s="4"/>
      <c r="G4" s="4"/>
      <c r="H4" s="4"/>
      <c r="I4" s="4"/>
      <c r="J4" s="4"/>
      <c r="K4" s="4"/>
      <c r="L4" s="4"/>
      <c r="M4" s="4"/>
      <c r="N4" s="4" t="s">
        <v>110</v>
      </c>
      <c r="O4" s="4"/>
      <c r="P4" s="4"/>
      <c r="Q4" s="4"/>
      <c r="R4" s="4"/>
      <c r="S4" s="4"/>
      <c r="T4" s="4"/>
      <c r="U4" s="4"/>
      <c r="V4" s="4"/>
      <c r="W4" s="4"/>
      <c r="X4" s="4"/>
      <c r="Y4" s="4"/>
      <c r="AB4" t="s">
        <v>38</v>
      </c>
      <c r="AC4">
        <v>3</v>
      </c>
    </row>
    <row r="5" spans="1:29" x14ac:dyDescent="0.35">
      <c r="A5" s="1" t="s">
        <v>2</v>
      </c>
      <c r="B5" s="1" t="s">
        <v>4</v>
      </c>
      <c r="C5" s="1" t="s">
        <v>5</v>
      </c>
      <c r="D5" s="1" t="s">
        <v>6</v>
      </c>
      <c r="E5" s="1" t="s">
        <v>7</v>
      </c>
      <c r="F5" s="1" t="s">
        <v>8</v>
      </c>
      <c r="G5" s="1" t="s">
        <v>9</v>
      </c>
      <c r="H5" s="1" t="s">
        <v>10</v>
      </c>
      <c r="I5" s="1" t="s">
        <v>11</v>
      </c>
      <c r="J5" s="1" t="s">
        <v>12</v>
      </c>
      <c r="K5" s="1" t="s">
        <v>13</v>
      </c>
      <c r="L5" s="1" t="s">
        <v>14</v>
      </c>
      <c r="M5" s="1" t="s">
        <v>15</v>
      </c>
      <c r="N5" s="1" t="s">
        <v>4</v>
      </c>
      <c r="O5" s="1" t="s">
        <v>5</v>
      </c>
      <c r="P5" s="1" t="s">
        <v>6</v>
      </c>
      <c r="Q5" s="1" t="s">
        <v>7</v>
      </c>
      <c r="R5" s="1" t="s">
        <v>8</v>
      </c>
      <c r="S5" s="1" t="s">
        <v>9</v>
      </c>
      <c r="T5" s="1" t="s">
        <v>10</v>
      </c>
      <c r="U5" s="1" t="s">
        <v>11</v>
      </c>
      <c r="V5" s="1" t="s">
        <v>12</v>
      </c>
      <c r="W5" s="1" t="s">
        <v>13</v>
      </c>
      <c r="X5" s="1" t="s">
        <v>14</v>
      </c>
      <c r="Y5" s="1" t="s">
        <v>15</v>
      </c>
      <c r="AB5" t="s">
        <v>39</v>
      </c>
      <c r="AC5">
        <v>12</v>
      </c>
    </row>
    <row r="6" spans="1:29" x14ac:dyDescent="0.35">
      <c r="A6" t="s">
        <v>16</v>
      </c>
      <c r="B6" s="5">
        <v>725</v>
      </c>
      <c r="C6" s="5">
        <v>804.6</v>
      </c>
      <c r="D6" s="5">
        <v>884.2</v>
      </c>
      <c r="E6" s="5">
        <v>783.9</v>
      </c>
      <c r="F6" s="5">
        <v>863.5</v>
      </c>
      <c r="G6" s="5">
        <v>943.1</v>
      </c>
      <c r="H6" s="5">
        <v>842.7</v>
      </c>
      <c r="I6" s="5">
        <v>922.4</v>
      </c>
      <c r="J6" s="5">
        <v>1002</v>
      </c>
      <c r="K6" s="5">
        <v>901.6</v>
      </c>
      <c r="L6" s="5">
        <v>981.2</v>
      </c>
      <c r="M6" s="5">
        <v>1060.9000000000001</v>
      </c>
      <c r="N6" s="5">
        <v>731.4</v>
      </c>
      <c r="O6" s="5">
        <v>780.5</v>
      </c>
      <c r="P6" s="5">
        <v>829.5</v>
      </c>
      <c r="Q6" s="5">
        <v>788.6</v>
      </c>
      <c r="R6" s="5">
        <v>837.6</v>
      </c>
      <c r="S6" s="5">
        <v>886.6</v>
      </c>
      <c r="T6" s="5">
        <v>845.7</v>
      </c>
      <c r="U6" s="5">
        <v>894.7</v>
      </c>
      <c r="V6" s="5">
        <v>943.7</v>
      </c>
      <c r="W6" s="5">
        <v>902.8</v>
      </c>
      <c r="X6" s="5">
        <v>951.8</v>
      </c>
      <c r="Y6" s="5">
        <v>1000.8</v>
      </c>
      <c r="AB6" t="s">
        <v>40</v>
      </c>
      <c r="AC6">
        <v>2</v>
      </c>
    </row>
    <row r="7" spans="1:29" x14ac:dyDescent="0.35">
      <c r="A7" t="s">
        <v>17</v>
      </c>
      <c r="B7" s="5">
        <v>565</v>
      </c>
      <c r="C7" s="5">
        <v>639.1</v>
      </c>
      <c r="D7" s="5">
        <v>533.20000000000005</v>
      </c>
      <c r="E7" s="5">
        <v>607.4</v>
      </c>
      <c r="F7" s="5">
        <v>681.5</v>
      </c>
      <c r="G7" s="5">
        <v>575.6</v>
      </c>
      <c r="H7" s="5">
        <v>649.79999999999995</v>
      </c>
      <c r="I7" s="5">
        <v>723.9</v>
      </c>
      <c r="J7" s="5">
        <v>618</v>
      </c>
      <c r="K7" s="5">
        <v>692.1</v>
      </c>
      <c r="L7" s="5">
        <v>766.2</v>
      </c>
      <c r="M7" s="5">
        <v>660.4</v>
      </c>
      <c r="N7" s="5">
        <v>548</v>
      </c>
      <c r="O7" s="5">
        <v>591.79999999999995</v>
      </c>
      <c r="P7" s="5">
        <v>545.5</v>
      </c>
      <c r="Q7" s="5">
        <v>589.20000000000005</v>
      </c>
      <c r="R7" s="5">
        <v>632.9</v>
      </c>
      <c r="S7" s="5">
        <v>586.6</v>
      </c>
      <c r="T7" s="5">
        <v>630.29999999999995</v>
      </c>
      <c r="U7" s="5">
        <v>674</v>
      </c>
      <c r="V7" s="5">
        <v>627.70000000000005</v>
      </c>
      <c r="W7" s="5">
        <v>671.4</v>
      </c>
      <c r="X7" s="5">
        <v>715.1</v>
      </c>
      <c r="Y7" s="5">
        <v>668.8</v>
      </c>
      <c r="AB7" t="s">
        <v>41</v>
      </c>
      <c r="AC7">
        <v>3</v>
      </c>
    </row>
    <row r="8" spans="1:29" x14ac:dyDescent="0.35">
      <c r="A8" t="s">
        <v>18</v>
      </c>
      <c r="B8" s="5">
        <v>1010</v>
      </c>
      <c r="C8" s="5">
        <v>913.7</v>
      </c>
      <c r="D8" s="5">
        <v>997.5</v>
      </c>
      <c r="E8" s="5">
        <v>1081.2</v>
      </c>
      <c r="F8" s="5">
        <v>985</v>
      </c>
      <c r="G8" s="5">
        <v>1068.8</v>
      </c>
      <c r="H8" s="5">
        <v>1152.5</v>
      </c>
      <c r="I8" s="5">
        <v>1056.2</v>
      </c>
      <c r="J8" s="5">
        <v>1140</v>
      </c>
      <c r="K8" s="5">
        <v>1223.8</v>
      </c>
      <c r="L8" s="5">
        <v>1127.5</v>
      </c>
      <c r="M8" s="5">
        <v>1211.2</v>
      </c>
      <c r="N8" s="5">
        <v>951.5</v>
      </c>
      <c r="O8" s="5">
        <v>914.5</v>
      </c>
      <c r="P8" s="5">
        <v>967.6</v>
      </c>
      <c r="Q8" s="5">
        <v>1020.6</v>
      </c>
      <c r="R8" s="5">
        <v>983.6</v>
      </c>
      <c r="S8" s="5">
        <v>1036.7</v>
      </c>
      <c r="T8" s="5">
        <v>1089.7</v>
      </c>
      <c r="U8" s="5">
        <v>1052.8</v>
      </c>
      <c r="V8" s="5">
        <v>1105.8</v>
      </c>
      <c r="W8" s="5">
        <v>1158.8</v>
      </c>
      <c r="X8" s="5">
        <v>1121.9000000000001</v>
      </c>
      <c r="Y8" s="5">
        <v>1174.9000000000001</v>
      </c>
      <c r="AB8" t="s">
        <v>42</v>
      </c>
      <c r="AC8">
        <v>6</v>
      </c>
    </row>
    <row r="9" spans="1:29" x14ac:dyDescent="0.35">
      <c r="A9" t="s">
        <v>19</v>
      </c>
      <c r="B9" s="5">
        <v>670</v>
      </c>
      <c r="C9" s="5">
        <v>748.2</v>
      </c>
      <c r="D9" s="5">
        <v>826.5</v>
      </c>
      <c r="E9" s="5">
        <v>724.8</v>
      </c>
      <c r="F9" s="5">
        <v>803</v>
      </c>
      <c r="G9" s="5">
        <v>881.2</v>
      </c>
      <c r="H9" s="5">
        <v>779.5</v>
      </c>
      <c r="I9" s="5">
        <v>857.8</v>
      </c>
      <c r="J9" s="5">
        <v>936</v>
      </c>
      <c r="K9" s="5">
        <v>834.3</v>
      </c>
      <c r="L9" s="5">
        <v>912.5</v>
      </c>
      <c r="M9" s="5">
        <v>990.7</v>
      </c>
      <c r="N9" s="5">
        <v>678.1</v>
      </c>
      <c r="O9" s="5">
        <v>725.8</v>
      </c>
      <c r="P9" s="5">
        <v>773.5</v>
      </c>
      <c r="Q9" s="5">
        <v>731.2</v>
      </c>
      <c r="R9" s="5">
        <v>778.9</v>
      </c>
      <c r="S9" s="5">
        <v>826.6</v>
      </c>
      <c r="T9" s="5">
        <v>784.3</v>
      </c>
      <c r="U9" s="5">
        <v>832</v>
      </c>
      <c r="V9" s="5">
        <v>879.7</v>
      </c>
      <c r="W9" s="5">
        <v>837.4</v>
      </c>
      <c r="X9" s="5">
        <v>885.1</v>
      </c>
      <c r="Y9" s="5">
        <v>932.8</v>
      </c>
      <c r="AB9" t="s">
        <v>43</v>
      </c>
      <c r="AC9">
        <v>1</v>
      </c>
    </row>
    <row r="10" spans="1:29" x14ac:dyDescent="0.35">
      <c r="A10" t="s">
        <v>20</v>
      </c>
      <c r="B10" s="5">
        <v>510</v>
      </c>
      <c r="C10" s="5">
        <v>582.79999999999995</v>
      </c>
      <c r="D10" s="5">
        <v>475.5</v>
      </c>
      <c r="E10" s="5">
        <v>548.20000000000005</v>
      </c>
      <c r="F10" s="5">
        <v>621</v>
      </c>
      <c r="G10" s="5">
        <v>513.79999999999995</v>
      </c>
      <c r="H10" s="5">
        <v>586.5</v>
      </c>
      <c r="I10" s="5">
        <v>659.2</v>
      </c>
      <c r="J10" s="5">
        <v>552</v>
      </c>
      <c r="K10" s="5">
        <v>624.79999999999995</v>
      </c>
      <c r="L10" s="5">
        <v>697.5</v>
      </c>
      <c r="M10" s="5">
        <v>590.20000000000005</v>
      </c>
      <c r="N10" s="5">
        <v>494.7</v>
      </c>
      <c r="O10" s="5">
        <v>537.1</v>
      </c>
      <c r="P10" s="5">
        <v>489.4</v>
      </c>
      <c r="Q10" s="5">
        <v>531.79999999999995</v>
      </c>
      <c r="R10" s="5">
        <v>574.20000000000005</v>
      </c>
      <c r="S10" s="5">
        <v>526.5</v>
      </c>
      <c r="T10" s="5">
        <v>568.9</v>
      </c>
      <c r="U10" s="5">
        <v>611.29999999999995</v>
      </c>
      <c r="V10" s="5">
        <v>563.6</v>
      </c>
      <c r="W10" s="5">
        <v>606</v>
      </c>
      <c r="X10" s="5">
        <v>648.4</v>
      </c>
      <c r="Y10" s="5">
        <v>600.70000000000005</v>
      </c>
      <c r="AB10" t="s">
        <v>44</v>
      </c>
      <c r="AC10">
        <v>12</v>
      </c>
    </row>
    <row r="11" spans="1:29" x14ac:dyDescent="0.35">
      <c r="A11" t="s">
        <v>21</v>
      </c>
      <c r="B11" s="5">
        <v>955</v>
      </c>
      <c r="C11" s="5">
        <v>857.4</v>
      </c>
      <c r="D11" s="5">
        <v>939.8</v>
      </c>
      <c r="E11" s="5">
        <v>1022.1</v>
      </c>
      <c r="F11" s="5">
        <v>924.5</v>
      </c>
      <c r="G11" s="5">
        <v>1006.9</v>
      </c>
      <c r="H11" s="5">
        <v>1089.2</v>
      </c>
      <c r="I11" s="5">
        <v>991.6</v>
      </c>
      <c r="J11" s="5">
        <v>1074</v>
      </c>
      <c r="K11" s="5">
        <v>1156.4000000000001</v>
      </c>
      <c r="L11" s="5">
        <v>1058.8</v>
      </c>
      <c r="M11" s="5">
        <v>1141.0999999999999</v>
      </c>
      <c r="N11" s="5">
        <v>898.1</v>
      </c>
      <c r="O11" s="5">
        <v>859.9</v>
      </c>
      <c r="P11" s="5">
        <v>911.6</v>
      </c>
      <c r="Q11" s="5">
        <v>963.3</v>
      </c>
      <c r="R11" s="5">
        <v>925</v>
      </c>
      <c r="S11" s="5">
        <v>976.7</v>
      </c>
      <c r="T11" s="5">
        <v>1028.4000000000001</v>
      </c>
      <c r="U11" s="5">
        <v>990.1</v>
      </c>
      <c r="V11" s="5">
        <v>1041.8</v>
      </c>
      <c r="W11" s="5">
        <v>1093.5</v>
      </c>
      <c r="X11" s="5">
        <v>1055.2</v>
      </c>
      <c r="Y11" s="5">
        <v>1106.9000000000001</v>
      </c>
      <c r="AB11" t="s">
        <v>45</v>
      </c>
      <c r="AC11">
        <v>1</v>
      </c>
    </row>
    <row r="12" spans="1:29" x14ac:dyDescent="0.35">
      <c r="A12" t="s">
        <v>22</v>
      </c>
      <c r="B12" s="5">
        <v>615</v>
      </c>
      <c r="C12" s="5">
        <v>691.9</v>
      </c>
      <c r="D12" s="5">
        <v>768.8</v>
      </c>
      <c r="E12" s="5">
        <v>665.6</v>
      </c>
      <c r="F12" s="5">
        <v>742.5</v>
      </c>
      <c r="G12" s="5">
        <v>819.4</v>
      </c>
      <c r="H12" s="5">
        <v>716.2</v>
      </c>
      <c r="I12" s="5">
        <v>793.1</v>
      </c>
      <c r="J12" s="5">
        <v>870</v>
      </c>
      <c r="K12" s="5">
        <v>766.9</v>
      </c>
      <c r="L12" s="5">
        <v>843.8</v>
      </c>
      <c r="M12" s="5">
        <v>920.6</v>
      </c>
      <c r="N12" s="5">
        <v>624.79999999999995</v>
      </c>
      <c r="O12" s="5">
        <v>671.1</v>
      </c>
      <c r="P12" s="5">
        <v>717.5</v>
      </c>
      <c r="Q12" s="5">
        <v>673.9</v>
      </c>
      <c r="R12" s="5">
        <v>720.2</v>
      </c>
      <c r="S12" s="5">
        <v>766.6</v>
      </c>
      <c r="T12" s="5">
        <v>723</v>
      </c>
      <c r="U12" s="5">
        <v>769.3</v>
      </c>
      <c r="V12" s="5">
        <v>815.7</v>
      </c>
      <c r="W12" s="5">
        <v>772.1</v>
      </c>
      <c r="X12" s="5">
        <v>818.4</v>
      </c>
      <c r="Y12" s="5">
        <v>864.8</v>
      </c>
      <c r="AB12" t="s">
        <v>46</v>
      </c>
      <c r="AC12">
        <v>3</v>
      </c>
    </row>
    <row r="13" spans="1:29" x14ac:dyDescent="0.35">
      <c r="A13" t="s">
        <v>23</v>
      </c>
      <c r="B13" s="5">
        <v>455</v>
      </c>
      <c r="C13" s="5">
        <v>526.4</v>
      </c>
      <c r="D13" s="5">
        <v>417.8</v>
      </c>
      <c r="E13" s="5">
        <v>489.1</v>
      </c>
      <c r="F13" s="5">
        <v>560.5</v>
      </c>
      <c r="G13" s="5">
        <v>451.9</v>
      </c>
      <c r="H13" s="5">
        <v>523.20000000000005</v>
      </c>
      <c r="I13" s="5">
        <v>594.6</v>
      </c>
      <c r="J13" s="5">
        <v>486</v>
      </c>
      <c r="K13" s="5">
        <v>557.4</v>
      </c>
      <c r="L13" s="5">
        <v>628.79999999999995</v>
      </c>
      <c r="M13" s="5">
        <v>520.1</v>
      </c>
      <c r="N13" s="5">
        <v>441.3</v>
      </c>
      <c r="O13" s="5">
        <v>482.4</v>
      </c>
      <c r="P13" s="5">
        <v>433.4</v>
      </c>
      <c r="Q13" s="5">
        <v>474.5</v>
      </c>
      <c r="R13" s="5">
        <v>515.5</v>
      </c>
      <c r="S13" s="5">
        <v>466.5</v>
      </c>
      <c r="T13" s="5">
        <v>507.6</v>
      </c>
      <c r="U13" s="5">
        <v>548.6</v>
      </c>
      <c r="V13" s="5">
        <v>499.6</v>
      </c>
      <c r="W13" s="5">
        <v>540.70000000000005</v>
      </c>
      <c r="X13" s="5">
        <v>581.70000000000005</v>
      </c>
      <c r="Y13" s="5">
        <v>532.70000000000005</v>
      </c>
      <c r="AB13" t="s">
        <v>47</v>
      </c>
      <c r="AC13">
        <v>0.82</v>
      </c>
    </row>
    <row r="14" spans="1:29" x14ac:dyDescent="0.35">
      <c r="A14" t="s">
        <v>24</v>
      </c>
      <c r="B14" s="5">
        <v>900</v>
      </c>
      <c r="C14" s="5">
        <v>801</v>
      </c>
      <c r="D14" s="5">
        <v>882</v>
      </c>
      <c r="E14" s="5">
        <v>963</v>
      </c>
      <c r="F14" s="5">
        <v>864</v>
      </c>
      <c r="G14" s="5">
        <v>945</v>
      </c>
      <c r="H14" s="5">
        <v>1026</v>
      </c>
      <c r="I14" s="5">
        <v>927</v>
      </c>
      <c r="J14" s="5">
        <v>1008</v>
      </c>
      <c r="K14" s="5">
        <v>1089</v>
      </c>
      <c r="L14" s="5">
        <v>990</v>
      </c>
      <c r="M14" s="5">
        <v>1071</v>
      </c>
      <c r="N14" s="5">
        <v>844.8</v>
      </c>
      <c r="O14" s="5">
        <v>805.2</v>
      </c>
      <c r="P14" s="5">
        <v>855.5</v>
      </c>
      <c r="Q14" s="5">
        <v>905.9</v>
      </c>
      <c r="R14" s="5">
        <v>866.3</v>
      </c>
      <c r="S14" s="5">
        <v>916.6</v>
      </c>
      <c r="T14" s="5">
        <v>967</v>
      </c>
      <c r="U14" s="5">
        <v>927.4</v>
      </c>
      <c r="V14" s="5">
        <v>977.8</v>
      </c>
      <c r="W14" s="5">
        <v>1028.0999999999999</v>
      </c>
      <c r="X14" s="5">
        <v>988.5</v>
      </c>
      <c r="Y14" s="5">
        <v>1038.9000000000001</v>
      </c>
      <c r="AB14" t="s">
        <v>48</v>
      </c>
      <c r="AC14" s="6">
        <f>MIN($B$6:$Y$23)</f>
        <v>360</v>
      </c>
    </row>
    <row r="15" spans="1:29" x14ac:dyDescent="0.35">
      <c r="A15" t="s">
        <v>25</v>
      </c>
      <c r="B15" s="5">
        <v>560</v>
      </c>
      <c r="C15" s="5">
        <v>635.5</v>
      </c>
      <c r="D15" s="5">
        <v>711</v>
      </c>
      <c r="E15" s="5">
        <v>606.5</v>
      </c>
      <c r="F15" s="5">
        <v>682</v>
      </c>
      <c r="G15" s="5">
        <v>757.5</v>
      </c>
      <c r="H15" s="5">
        <v>653</v>
      </c>
      <c r="I15" s="5">
        <v>728.5</v>
      </c>
      <c r="J15" s="5">
        <v>804</v>
      </c>
      <c r="K15" s="5">
        <v>699.5</v>
      </c>
      <c r="L15" s="5">
        <v>775</v>
      </c>
      <c r="M15" s="5">
        <v>850.5</v>
      </c>
      <c r="N15" s="5">
        <v>571.4</v>
      </c>
      <c r="O15" s="5">
        <v>616.4</v>
      </c>
      <c r="P15" s="5">
        <v>661.5</v>
      </c>
      <c r="Q15" s="5">
        <v>616.5</v>
      </c>
      <c r="R15" s="5">
        <v>661.5</v>
      </c>
      <c r="S15" s="5">
        <v>706.6</v>
      </c>
      <c r="T15" s="5">
        <v>661.6</v>
      </c>
      <c r="U15" s="5">
        <v>706.6</v>
      </c>
      <c r="V15" s="5">
        <v>751.7</v>
      </c>
      <c r="W15" s="5">
        <v>706.7</v>
      </c>
      <c r="X15" s="5">
        <v>751.8</v>
      </c>
      <c r="Y15" s="5">
        <v>796.8</v>
      </c>
      <c r="AB15" t="s">
        <v>49</v>
      </c>
      <c r="AC15" s="6">
        <f>MAX($B$6:$Y$23)</f>
        <v>1247.5</v>
      </c>
    </row>
    <row r="16" spans="1:29" x14ac:dyDescent="0.35">
      <c r="A16" t="s">
        <v>26</v>
      </c>
      <c r="B16" s="5">
        <v>400</v>
      </c>
      <c r="C16" s="5">
        <v>470</v>
      </c>
      <c r="D16" s="5">
        <v>360</v>
      </c>
      <c r="E16" s="5">
        <v>430</v>
      </c>
      <c r="F16" s="5">
        <v>500</v>
      </c>
      <c r="G16" s="5">
        <v>390</v>
      </c>
      <c r="H16" s="5">
        <v>460</v>
      </c>
      <c r="I16" s="5">
        <v>530</v>
      </c>
      <c r="J16" s="5">
        <v>420</v>
      </c>
      <c r="K16" s="5">
        <v>490</v>
      </c>
      <c r="L16" s="5">
        <v>560</v>
      </c>
      <c r="M16" s="5">
        <v>450</v>
      </c>
      <c r="N16" s="5">
        <v>388</v>
      </c>
      <c r="O16" s="5">
        <v>427.7</v>
      </c>
      <c r="P16" s="5">
        <v>377.4</v>
      </c>
      <c r="Q16" s="5">
        <v>417.1</v>
      </c>
      <c r="R16" s="5">
        <v>456.8</v>
      </c>
      <c r="S16" s="5">
        <v>406.5</v>
      </c>
      <c r="T16" s="5">
        <v>446.2</v>
      </c>
      <c r="U16" s="5">
        <v>485.9</v>
      </c>
      <c r="V16" s="5">
        <v>435.6</v>
      </c>
      <c r="W16" s="5">
        <v>475.3</v>
      </c>
      <c r="X16" s="5">
        <v>515</v>
      </c>
      <c r="Y16" s="5">
        <v>464.7</v>
      </c>
      <c r="AB16" t="s">
        <v>50</v>
      </c>
      <c r="AC16" s="6">
        <f>10^INT(LOG10(MAX(0.000000001,$AC$15-$AC$14)))/2</f>
        <v>50</v>
      </c>
    </row>
    <row r="17" spans="1:84" x14ac:dyDescent="0.35">
      <c r="A17" t="s">
        <v>27</v>
      </c>
      <c r="B17" s="5">
        <v>845</v>
      </c>
      <c r="C17" s="5">
        <v>744.6</v>
      </c>
      <c r="D17" s="5">
        <v>824.2</v>
      </c>
      <c r="E17" s="5">
        <v>903.9</v>
      </c>
      <c r="F17" s="5">
        <v>803.5</v>
      </c>
      <c r="G17" s="5">
        <v>883.1</v>
      </c>
      <c r="H17" s="5">
        <v>962.7</v>
      </c>
      <c r="I17" s="5">
        <v>862.4</v>
      </c>
      <c r="J17" s="5">
        <v>942</v>
      </c>
      <c r="K17" s="5">
        <v>1021.6</v>
      </c>
      <c r="L17" s="5">
        <v>921.2</v>
      </c>
      <c r="M17" s="5">
        <v>1000.9</v>
      </c>
      <c r="N17" s="5">
        <v>791.4</v>
      </c>
      <c r="O17" s="5">
        <v>750.5</v>
      </c>
      <c r="P17" s="5">
        <v>799.5</v>
      </c>
      <c r="Q17" s="5">
        <v>848.6</v>
      </c>
      <c r="R17" s="5">
        <v>807.6</v>
      </c>
      <c r="S17" s="5">
        <v>856.6</v>
      </c>
      <c r="T17" s="5">
        <v>905.7</v>
      </c>
      <c r="U17" s="5">
        <v>864.7</v>
      </c>
      <c r="V17" s="5">
        <v>913.7</v>
      </c>
      <c r="W17" s="5">
        <v>962.8</v>
      </c>
      <c r="X17" s="5">
        <v>921.8</v>
      </c>
      <c r="Y17" s="5">
        <v>970.8</v>
      </c>
      <c r="AB17" t="s">
        <v>51</v>
      </c>
      <c r="AC17" s="6">
        <f>FLOOR($AC$14,$AC$16)</f>
        <v>350</v>
      </c>
    </row>
    <row r="18" spans="1:84" x14ac:dyDescent="0.35">
      <c r="A18" t="s">
        <v>28</v>
      </c>
      <c r="B18" s="5">
        <v>505</v>
      </c>
      <c r="C18" s="5">
        <v>579.1</v>
      </c>
      <c r="D18" s="5">
        <v>653.20000000000005</v>
      </c>
      <c r="E18" s="5">
        <v>547.4</v>
      </c>
      <c r="F18" s="5">
        <v>621.5</v>
      </c>
      <c r="G18" s="5">
        <v>695.6</v>
      </c>
      <c r="H18" s="5">
        <v>589.79999999999995</v>
      </c>
      <c r="I18" s="5">
        <v>663.9</v>
      </c>
      <c r="J18" s="5">
        <v>738</v>
      </c>
      <c r="K18" s="5">
        <v>632.1</v>
      </c>
      <c r="L18" s="5">
        <v>706.2</v>
      </c>
      <c r="M18" s="5">
        <v>780.4</v>
      </c>
      <c r="N18" s="5">
        <v>518</v>
      </c>
      <c r="O18" s="5">
        <v>561.79999999999995</v>
      </c>
      <c r="P18" s="5">
        <v>605.5</v>
      </c>
      <c r="Q18" s="5">
        <v>559.20000000000005</v>
      </c>
      <c r="R18" s="5">
        <v>602.9</v>
      </c>
      <c r="S18" s="5">
        <v>646.6</v>
      </c>
      <c r="T18" s="5">
        <v>600.29999999999995</v>
      </c>
      <c r="U18" s="5">
        <v>644</v>
      </c>
      <c r="V18" s="5">
        <v>687.7</v>
      </c>
      <c r="W18" s="5">
        <v>641.4</v>
      </c>
      <c r="X18" s="5">
        <v>685.1</v>
      </c>
      <c r="Y18" s="5">
        <v>728.8</v>
      </c>
      <c r="AB18" t="s">
        <v>52</v>
      </c>
      <c r="AC18" s="6">
        <f>CEILING($AC$15,$AC$16)</f>
        <v>1250</v>
      </c>
    </row>
    <row r="19" spans="1:84" x14ac:dyDescent="0.35">
      <c r="A19" t="s">
        <v>29</v>
      </c>
      <c r="B19" s="5">
        <v>950</v>
      </c>
      <c r="C19" s="5">
        <v>1033.8</v>
      </c>
      <c r="D19" s="5">
        <v>937.5</v>
      </c>
      <c r="E19" s="5">
        <v>1021.2</v>
      </c>
      <c r="F19" s="5">
        <v>1105</v>
      </c>
      <c r="G19" s="5">
        <v>1008.8</v>
      </c>
      <c r="H19" s="5">
        <v>1092.5</v>
      </c>
      <c r="I19" s="5">
        <v>1176.2</v>
      </c>
      <c r="J19" s="5">
        <v>1080</v>
      </c>
      <c r="K19" s="5">
        <v>1163.8</v>
      </c>
      <c r="L19" s="5">
        <v>1247.5</v>
      </c>
      <c r="M19" s="5">
        <v>1151.2</v>
      </c>
      <c r="N19" s="5">
        <v>921.5</v>
      </c>
      <c r="O19" s="5">
        <v>974.5</v>
      </c>
      <c r="P19" s="5">
        <v>937.6</v>
      </c>
      <c r="Q19" s="5">
        <v>990.6</v>
      </c>
      <c r="R19" s="5">
        <v>1043.7</v>
      </c>
      <c r="S19" s="5">
        <v>1006.7</v>
      </c>
      <c r="T19" s="5">
        <v>1059.7</v>
      </c>
      <c r="U19" s="5">
        <v>1112.8</v>
      </c>
      <c r="V19" s="5">
        <v>1075.8</v>
      </c>
      <c r="W19" s="5">
        <v>1128.8</v>
      </c>
      <c r="X19" s="5">
        <v>1181.9000000000001</v>
      </c>
      <c r="Y19" s="5">
        <v>1144.9000000000001</v>
      </c>
      <c r="AB19" t="s">
        <v>53</v>
      </c>
      <c r="AC19" s="6">
        <f>MAX(0.000000001,$AC$18-$AC$17)</f>
        <v>900</v>
      </c>
    </row>
    <row r="20" spans="1:84" x14ac:dyDescent="0.35">
      <c r="A20" t="s">
        <v>30</v>
      </c>
      <c r="B20" s="5">
        <v>790</v>
      </c>
      <c r="C20" s="5">
        <v>688.2</v>
      </c>
      <c r="D20" s="5">
        <v>766.5</v>
      </c>
      <c r="E20" s="5">
        <v>844.8</v>
      </c>
      <c r="F20" s="5">
        <v>743</v>
      </c>
      <c r="G20" s="5">
        <v>821.2</v>
      </c>
      <c r="H20" s="5">
        <v>899.5</v>
      </c>
      <c r="I20" s="5">
        <v>797.8</v>
      </c>
      <c r="J20" s="5">
        <v>876</v>
      </c>
      <c r="K20" s="5">
        <v>954.3</v>
      </c>
      <c r="L20" s="5">
        <v>852.5</v>
      </c>
      <c r="M20" s="5">
        <v>930.7</v>
      </c>
      <c r="N20" s="5">
        <v>738.1</v>
      </c>
      <c r="O20" s="5">
        <v>695.8</v>
      </c>
      <c r="P20" s="5">
        <v>743.5</v>
      </c>
      <c r="Q20" s="5">
        <v>791.2</v>
      </c>
      <c r="R20" s="5">
        <v>748.9</v>
      </c>
      <c r="S20" s="5">
        <v>796.6</v>
      </c>
      <c r="T20" s="5">
        <v>844.3</v>
      </c>
      <c r="U20" s="5">
        <v>802</v>
      </c>
      <c r="V20" s="5">
        <v>849.7</v>
      </c>
      <c r="W20" s="5">
        <v>897.4</v>
      </c>
      <c r="X20" s="5">
        <v>855.1</v>
      </c>
      <c r="Y20" s="5">
        <v>902.8</v>
      </c>
      <c r="AB20" t="s">
        <v>54</v>
      </c>
      <c r="AC20" s="6">
        <f>(0-$AC$17)/$AC$19*$AC$13</f>
        <v>-0.31888888888888889</v>
      </c>
    </row>
    <row r="21" spans="1:84" x14ac:dyDescent="0.35">
      <c r="A21" t="s">
        <v>31</v>
      </c>
      <c r="B21" s="5">
        <v>450</v>
      </c>
      <c r="C21" s="5">
        <v>522.79999999999995</v>
      </c>
      <c r="D21" s="5">
        <v>595.5</v>
      </c>
      <c r="E21" s="5">
        <v>488.2</v>
      </c>
      <c r="F21" s="5">
        <v>561</v>
      </c>
      <c r="G21" s="5">
        <v>633.79999999999995</v>
      </c>
      <c r="H21" s="5">
        <v>526.5</v>
      </c>
      <c r="I21" s="5">
        <v>599.20000000000005</v>
      </c>
      <c r="J21" s="5">
        <v>672</v>
      </c>
      <c r="K21" s="5">
        <v>564.79999999999995</v>
      </c>
      <c r="L21" s="5">
        <v>637.5</v>
      </c>
      <c r="M21" s="5">
        <v>710.2</v>
      </c>
      <c r="N21" s="5">
        <v>464.7</v>
      </c>
      <c r="O21" s="5">
        <v>507.1</v>
      </c>
      <c r="P21" s="5">
        <v>549.4</v>
      </c>
      <c r="Q21" s="5">
        <v>501.8</v>
      </c>
      <c r="R21" s="5">
        <v>544.20000000000005</v>
      </c>
      <c r="S21" s="5">
        <v>586.5</v>
      </c>
      <c r="T21" s="5">
        <v>538.9</v>
      </c>
      <c r="U21" s="5">
        <v>581.29999999999995</v>
      </c>
      <c r="V21" s="5">
        <v>623.6</v>
      </c>
      <c r="W21" s="5">
        <v>576</v>
      </c>
      <c r="X21" s="5">
        <v>618.4</v>
      </c>
      <c r="Y21" s="5">
        <v>660.7</v>
      </c>
    </row>
    <row r="22" spans="1:84" x14ac:dyDescent="0.35">
      <c r="A22" t="s">
        <v>32</v>
      </c>
      <c r="B22" s="5">
        <v>895</v>
      </c>
      <c r="C22" s="5">
        <v>977.4</v>
      </c>
      <c r="D22" s="5">
        <v>879.8</v>
      </c>
      <c r="E22" s="5">
        <v>962.1</v>
      </c>
      <c r="F22" s="5">
        <v>1044.5</v>
      </c>
      <c r="G22" s="5">
        <v>946.9</v>
      </c>
      <c r="H22" s="5">
        <v>1029.2</v>
      </c>
      <c r="I22" s="5">
        <v>1111.5999999999999</v>
      </c>
      <c r="J22" s="5">
        <v>1014</v>
      </c>
      <c r="K22" s="5">
        <v>1096.4000000000001</v>
      </c>
      <c r="L22" s="5">
        <v>1178.8</v>
      </c>
      <c r="M22" s="5">
        <v>1081.0999999999999</v>
      </c>
      <c r="N22" s="5">
        <v>868.1</v>
      </c>
      <c r="O22" s="5">
        <v>919.9</v>
      </c>
      <c r="P22" s="5">
        <v>881.6</v>
      </c>
      <c r="Q22" s="5">
        <v>933.3</v>
      </c>
      <c r="R22" s="5">
        <v>985</v>
      </c>
      <c r="S22" s="5">
        <v>946.7</v>
      </c>
      <c r="T22" s="5">
        <v>998.4</v>
      </c>
      <c r="U22" s="5">
        <v>1050.0999999999999</v>
      </c>
      <c r="V22" s="5">
        <v>1011.8</v>
      </c>
      <c r="W22" s="5">
        <v>1063.5</v>
      </c>
      <c r="X22" s="5">
        <v>1115.2</v>
      </c>
      <c r="Y22" s="5">
        <v>1076.9000000000001</v>
      </c>
    </row>
    <row r="23" spans="1:84" x14ac:dyDescent="0.35">
      <c r="A23" t="s">
        <v>33</v>
      </c>
      <c r="B23" s="5">
        <v>735</v>
      </c>
      <c r="C23" s="5">
        <v>631.9</v>
      </c>
      <c r="D23" s="5">
        <v>708.8</v>
      </c>
      <c r="E23" s="5">
        <v>785.6</v>
      </c>
      <c r="F23" s="5">
        <v>682.5</v>
      </c>
      <c r="G23" s="5">
        <v>759.4</v>
      </c>
      <c r="H23" s="5">
        <v>836.2</v>
      </c>
      <c r="I23" s="5">
        <v>733.1</v>
      </c>
      <c r="J23" s="5">
        <v>810</v>
      </c>
      <c r="K23" s="5">
        <v>886.9</v>
      </c>
      <c r="L23" s="5">
        <v>783.8</v>
      </c>
      <c r="M23" s="5">
        <v>860.6</v>
      </c>
      <c r="N23" s="5">
        <v>684.8</v>
      </c>
      <c r="O23" s="5">
        <v>641.1</v>
      </c>
      <c r="P23" s="5">
        <v>687.5</v>
      </c>
      <c r="Q23" s="5">
        <v>733.9</v>
      </c>
      <c r="R23" s="5">
        <v>690.2</v>
      </c>
      <c r="S23" s="5">
        <v>736.6</v>
      </c>
      <c r="T23" s="5">
        <v>783</v>
      </c>
      <c r="U23" s="5">
        <v>739.3</v>
      </c>
      <c r="V23" s="5">
        <v>785.7</v>
      </c>
      <c r="W23" s="5">
        <v>832.1</v>
      </c>
      <c r="X23" s="5">
        <v>788.4</v>
      </c>
      <c r="Y23" s="5">
        <v>834.8</v>
      </c>
      <c r="AB23" s="1" t="s">
        <v>55</v>
      </c>
      <c r="AC23" s="1" t="s">
        <v>56</v>
      </c>
      <c r="AD23" s="1" t="s">
        <v>57</v>
      </c>
      <c r="AE23" s="1" t="s">
        <v>58</v>
      </c>
      <c r="AF23" s="1" t="s">
        <v>59</v>
      </c>
      <c r="AG23" s="1" t="s">
        <v>60</v>
      </c>
      <c r="AH23" s="1" t="s">
        <v>61</v>
      </c>
      <c r="AI23" s="1" t="s">
        <v>62</v>
      </c>
      <c r="AJ23" s="1" t="s">
        <v>63</v>
      </c>
      <c r="AK23" s="1" t="s">
        <v>64</v>
      </c>
      <c r="AL23" s="1" t="s">
        <v>111</v>
      </c>
      <c r="AM23" s="1" t="s">
        <v>113</v>
      </c>
      <c r="AN23" s="1" t="s">
        <v>115</v>
      </c>
      <c r="AO23" s="1" t="s">
        <v>117</v>
      </c>
      <c r="AP23" s="1" t="s">
        <v>119</v>
      </c>
      <c r="AQ23" s="1" t="s">
        <v>121</v>
      </c>
      <c r="AR23" s="1" t="s">
        <v>123</v>
      </c>
      <c r="AS23" s="1" t="s">
        <v>125</v>
      </c>
      <c r="AT23" s="1" t="s">
        <v>127</v>
      </c>
      <c r="AU23" s="1" t="s">
        <v>129</v>
      </c>
      <c r="AV23" s="1" t="s">
        <v>131</v>
      </c>
      <c r="AW23" s="1" t="s">
        <v>133</v>
      </c>
      <c r="AX23" s="1"/>
      <c r="AY23" s="1" t="s">
        <v>112</v>
      </c>
      <c r="AZ23" s="1" t="s">
        <v>114</v>
      </c>
      <c r="BA23" s="1" t="s">
        <v>116</v>
      </c>
      <c r="BB23" s="1" t="s">
        <v>118</v>
      </c>
      <c r="BC23" s="1" t="s">
        <v>120</v>
      </c>
      <c r="BD23" s="1" t="s">
        <v>122</v>
      </c>
      <c r="BE23" s="1" t="s">
        <v>124</v>
      </c>
      <c r="BF23" s="1" t="s">
        <v>126</v>
      </c>
      <c r="BG23" s="1" t="s">
        <v>128</v>
      </c>
      <c r="BH23" s="1" t="s">
        <v>130</v>
      </c>
      <c r="BI23" s="1" t="s">
        <v>132</v>
      </c>
      <c r="BJ23" s="1" t="s">
        <v>134</v>
      </c>
      <c r="BK23" s="1"/>
      <c r="BL23" s="1" t="s">
        <v>70</v>
      </c>
      <c r="BM23" s="1"/>
      <c r="BN23" s="1"/>
      <c r="BO23" s="1" t="s">
        <v>71</v>
      </c>
      <c r="BP23" s="1"/>
      <c r="BQ23" s="1"/>
      <c r="BR23" s="1" t="s">
        <v>72</v>
      </c>
      <c r="BS23" s="1"/>
      <c r="BT23" s="1"/>
      <c r="BU23" s="1" t="s">
        <v>73</v>
      </c>
      <c r="BV23" s="1"/>
      <c r="BW23" s="1"/>
      <c r="BX23" s="1"/>
      <c r="BY23" s="1" t="s">
        <v>74</v>
      </c>
      <c r="BZ23" s="1"/>
      <c r="CA23" s="1"/>
      <c r="CB23" s="1"/>
      <c r="CC23" s="1"/>
      <c r="CD23" s="1"/>
      <c r="CE23" s="1"/>
      <c r="CF23" s="1"/>
    </row>
    <row r="24" spans="1:84" x14ac:dyDescent="0.35">
      <c r="AB24">
        <v>1</v>
      </c>
      <c r="AC24">
        <f>AB24-$AC$12</f>
        <v>-2</v>
      </c>
      <c r="AD24">
        <f>IF(AC24&lt;=0,-1,INT((AC24-1)/($AC$10+$AC$11)))</f>
        <v>-1</v>
      </c>
      <c r="AE24">
        <f>IF(AC24&lt;=0,-1,MOD(AC24-1,($AC$10+$AC$11)))</f>
        <v>-1</v>
      </c>
      <c r="AF24">
        <f>IF(OR(AE24&lt;0,AE24&gt;=$AC$10),-1,INT(AE24/$AC$9))</f>
        <v>-1</v>
      </c>
      <c r="AG24">
        <f>IF(OR(AE24&lt;0,AE24&gt;=$AC$10),-1,MOD(AE24,$AC$9))</f>
        <v>-1</v>
      </c>
      <c r="AH24">
        <f>IF(OR(AC24&lt;=0,AE24&lt;0,AE24&gt;=$AC$10,AD24&gt;=$AC$7),1,0)</f>
        <v>1</v>
      </c>
      <c r="AI24">
        <f>IF(AH24=1,-1,AF24)</f>
        <v>-1</v>
      </c>
      <c r="AJ24">
        <f>IF(AH24=1,-1,AD24)</f>
        <v>-1</v>
      </c>
      <c r="AK24" t="str">
        <f>IF(AH24=1,"",IF(AND(MOD(AI24,3)=0,AG24=INT(($AC$9-1)/2)),INDEX($B$5:$M$5,AI24+1),""))</f>
        <v/>
      </c>
      <c r="AL24" t="e">
        <f>IF(AH24=1,NA(),IF(INDEX($B$6:$Y$23,($AC$3-1-0)*$AC$4+AJ24+1,0*$AC$5+AI24+1)="",NA(),0+(INDEX($B$6:$Y$23,($AC$3-1-0)*$AC$4+AJ24+1,0*$AC$5+AI24+1)-$AC$17)/$AC$19*$AC$13))</f>
        <v>#N/A</v>
      </c>
      <c r="AM24" t="e">
        <f>IF(AH24=1,NA(),IF(INDEX($B$6:$Y$23,($AC$3-1-0)*$AC$4+AJ24+1,1*$AC$5+AI24+1)="",NA(),0+(INDEX($B$6:$Y$23,($AC$3-1-0)*$AC$4+AJ24+1,1*$AC$5+AI24+1)-$AC$17)/$AC$19*$AC$13))</f>
        <v>#N/A</v>
      </c>
      <c r="AN24" t="e">
        <f>IF(AH24=1,NA(),IF(INDEX($B$6:$Y$23,($AC$3-1-1)*$AC$4+AJ24+1,0*$AC$5+AI24+1)="",NA(),1+(INDEX($B$6:$Y$23,($AC$3-1-1)*$AC$4+AJ24+1,0*$AC$5+AI24+1)-$AC$17)/$AC$19*$AC$13))</f>
        <v>#N/A</v>
      </c>
      <c r="AO24" t="e">
        <f>IF(AH24=1,NA(),IF(INDEX($B$6:$Y$23,($AC$3-1-1)*$AC$4+AJ24+1,1*$AC$5+AI24+1)="",NA(),1+(INDEX($B$6:$Y$23,($AC$3-1-1)*$AC$4+AJ24+1,1*$AC$5+AI24+1)-$AC$17)/$AC$19*$AC$13))</f>
        <v>#N/A</v>
      </c>
      <c r="AP24" t="e">
        <f>IF(AH24=1,NA(),IF(INDEX($B$6:$Y$23,($AC$3-1-2)*$AC$4+AJ24+1,0*$AC$5+AI24+1)="",NA(),2+(INDEX($B$6:$Y$23,($AC$3-1-2)*$AC$4+AJ24+1,0*$AC$5+AI24+1)-$AC$17)/$AC$19*$AC$13))</f>
        <v>#N/A</v>
      </c>
      <c r="AQ24" t="e">
        <f>IF(AH24=1,NA(),IF(INDEX($B$6:$Y$23,($AC$3-1-2)*$AC$4+AJ24+1,1*$AC$5+AI24+1)="",NA(),2+(INDEX($B$6:$Y$23,($AC$3-1-2)*$AC$4+AJ24+1,1*$AC$5+AI24+1)-$AC$17)/$AC$19*$AC$13))</f>
        <v>#N/A</v>
      </c>
      <c r="AR24" t="e">
        <f>IF(AH24=1,NA(),IF(INDEX($B$6:$Y$23,($AC$3-1-3)*$AC$4+AJ24+1,0*$AC$5+AI24+1)="",NA(),3+(INDEX($B$6:$Y$23,($AC$3-1-3)*$AC$4+AJ24+1,0*$AC$5+AI24+1)-$AC$17)/$AC$19*$AC$13))</f>
        <v>#N/A</v>
      </c>
      <c r="AS24" t="e">
        <f>IF(AH24=1,NA(),IF(INDEX($B$6:$Y$23,($AC$3-1-3)*$AC$4+AJ24+1,1*$AC$5+AI24+1)="",NA(),3+(INDEX($B$6:$Y$23,($AC$3-1-3)*$AC$4+AJ24+1,1*$AC$5+AI24+1)-$AC$17)/$AC$19*$AC$13))</f>
        <v>#N/A</v>
      </c>
      <c r="AT24" t="e">
        <f>IF(AH24=1,NA(),IF(INDEX($B$6:$Y$23,($AC$3-1-4)*$AC$4+AJ24+1,0*$AC$5+AI24+1)="",NA(),4+(INDEX($B$6:$Y$23,($AC$3-1-4)*$AC$4+AJ24+1,0*$AC$5+AI24+1)-$AC$17)/$AC$19*$AC$13))</f>
        <v>#N/A</v>
      </c>
      <c r="AU24" t="e">
        <f>IF(AH24=1,NA(),IF(INDEX($B$6:$Y$23,($AC$3-1-4)*$AC$4+AJ24+1,1*$AC$5+AI24+1)="",NA(),4+(INDEX($B$6:$Y$23,($AC$3-1-4)*$AC$4+AJ24+1,1*$AC$5+AI24+1)-$AC$17)/$AC$19*$AC$13))</f>
        <v>#N/A</v>
      </c>
      <c r="AV24" t="e">
        <f>IF(AH24=1,NA(),IF(INDEX($B$6:$Y$23,($AC$3-1-5)*$AC$4+AJ24+1,0*$AC$5+AI24+1)="",NA(),5+(INDEX($B$6:$Y$23,($AC$3-1-5)*$AC$4+AJ24+1,0*$AC$5+AI24+1)-$AC$17)/$AC$19*$AC$13))</f>
        <v>#N/A</v>
      </c>
      <c r="AW24" t="e">
        <f>IF(AH24=1,NA(),IF(INDEX($B$6:$Y$23,($AC$3-1-5)*$AC$4+AJ24+1,1*$AC$5+AI24+1)="",NA(),5+(INDEX($B$6:$Y$23,($AC$3-1-5)*$AC$4+AJ24+1,1*$AC$5+AI24+1)-$AC$17)/$AC$19*$AC$13))</f>
        <v>#N/A</v>
      </c>
      <c r="AY24" t="str">
        <f>IF(AH24=1,"",IF(INDEX($B$6:$Y$23,($AC$3-1-0)*$AC$4+AJ24+1,0*$AC$5+AI24+1)="","",TEXT(INDEX($B$6:$Y$23,($AC$3-1-0)*$AC$4+AJ24+1,0*$AC$5+AI24+1),"#,##0")))</f>
        <v/>
      </c>
      <c r="AZ24" t="str">
        <f>IF(AH24=1,"",IF(INDEX($B$6:$Y$23,($AC$3-1-0)*$AC$4+AJ24+1,1*$AC$5+AI24+1)="","",TEXT(INDEX($B$6:$Y$23,($AC$3-1-0)*$AC$4+AJ24+1,1*$AC$5+AI24+1),"#,##0")))</f>
        <v/>
      </c>
      <c r="BA24" t="str">
        <f>IF(AH24=1,"",IF(INDEX($B$6:$Y$23,($AC$3-1-1)*$AC$4+AJ24+1,0*$AC$5+AI24+1)="","",TEXT(INDEX($B$6:$Y$23,($AC$3-1-1)*$AC$4+AJ24+1,0*$AC$5+AI24+1),"#,##0")))</f>
        <v/>
      </c>
      <c r="BB24" t="str">
        <f>IF(AH24=1,"",IF(INDEX($B$6:$Y$23,($AC$3-1-1)*$AC$4+AJ24+1,1*$AC$5+AI24+1)="","",TEXT(INDEX($B$6:$Y$23,($AC$3-1-1)*$AC$4+AJ24+1,1*$AC$5+AI24+1),"#,##0")))</f>
        <v/>
      </c>
      <c r="BC24" t="str">
        <f>IF(AH24=1,"",IF(INDEX($B$6:$Y$23,($AC$3-1-2)*$AC$4+AJ24+1,0*$AC$5+AI24+1)="","",TEXT(INDEX($B$6:$Y$23,($AC$3-1-2)*$AC$4+AJ24+1,0*$AC$5+AI24+1),"#,##0")))</f>
        <v/>
      </c>
      <c r="BD24" t="str">
        <f>IF(AH24=1,"",IF(INDEX($B$6:$Y$23,($AC$3-1-2)*$AC$4+AJ24+1,1*$AC$5+AI24+1)="","",TEXT(INDEX($B$6:$Y$23,($AC$3-1-2)*$AC$4+AJ24+1,1*$AC$5+AI24+1),"#,##0")))</f>
        <v/>
      </c>
      <c r="BE24" t="str">
        <f>IF(AH24=1,"",IF(INDEX($B$6:$Y$23,($AC$3-1-3)*$AC$4+AJ24+1,0*$AC$5+AI24+1)="","",TEXT(INDEX($B$6:$Y$23,($AC$3-1-3)*$AC$4+AJ24+1,0*$AC$5+AI24+1),"#,##0")))</f>
        <v/>
      </c>
      <c r="BF24" t="str">
        <f>IF(AH24=1,"",IF(INDEX($B$6:$Y$23,($AC$3-1-3)*$AC$4+AJ24+1,1*$AC$5+AI24+1)="","",TEXT(INDEX($B$6:$Y$23,($AC$3-1-3)*$AC$4+AJ24+1,1*$AC$5+AI24+1),"#,##0")))</f>
        <v/>
      </c>
      <c r="BG24" t="str">
        <f>IF(AH24=1,"",IF(INDEX($B$6:$Y$23,($AC$3-1-4)*$AC$4+AJ24+1,0*$AC$5+AI24+1)="","",TEXT(INDEX($B$6:$Y$23,($AC$3-1-4)*$AC$4+AJ24+1,0*$AC$5+AI24+1),"#,##0")))</f>
        <v/>
      </c>
      <c r="BH24" t="str">
        <f>IF(AH24=1,"",IF(INDEX($B$6:$Y$23,($AC$3-1-4)*$AC$4+AJ24+1,1*$AC$5+AI24+1)="","",TEXT(INDEX($B$6:$Y$23,($AC$3-1-4)*$AC$4+AJ24+1,1*$AC$5+AI24+1),"#,##0")))</f>
        <v/>
      </c>
      <c r="BI24" t="str">
        <f>IF(AH24=1,"",IF(INDEX($B$6:$Y$23,($AC$3-1-5)*$AC$4+AJ24+1,0*$AC$5+AI24+1)="","",TEXT(INDEX($B$6:$Y$23,($AC$3-1-5)*$AC$4+AJ24+1,0*$AC$5+AI24+1),"#,##0")))</f>
        <v/>
      </c>
      <c r="BJ24" t="str">
        <f>IF(AH24=1,"",IF(INDEX($B$6:$Y$23,($AC$3-1-5)*$AC$4+AJ24+1,1*$AC$5+AI24+1)="","",TEXT(INDEX($B$6:$Y$23,($AC$3-1-5)*$AC$4+AJ24+1,1*$AC$5+AI24+1),"#,##0")))</f>
        <v/>
      </c>
      <c r="BL24">
        <v>16</v>
      </c>
      <c r="BM24">
        <v>0</v>
      </c>
      <c r="BO24">
        <v>0.5</v>
      </c>
      <c r="BP24">
        <v>0.90999999999999992</v>
      </c>
      <c r="BR24">
        <v>3.5</v>
      </c>
      <c r="BS24" t="e">
        <f>IF(OR($AC$17&gt;0,$AC$18&lt;0),NA(),0+$AC$20)</f>
        <v>#N/A</v>
      </c>
      <c r="BU24">
        <v>4</v>
      </c>
      <c r="BV24">
        <f>5+$AC$13+0.03</f>
        <v>5.8500000000000005</v>
      </c>
      <c r="BW24" t="str">
        <f>Dot!$A$6</f>
        <v>Business partner 01</v>
      </c>
      <c r="BY24">
        <v>3.35</v>
      </c>
      <c r="BZ24">
        <f>0+0*$AC$13</f>
        <v>0</v>
      </c>
      <c r="CA24" t="str">
        <f>TEXT($AC$17+($AC$18-$AC$17)*0,"#,##0")</f>
        <v>350</v>
      </c>
    </row>
    <row r="25" spans="1:84" x14ac:dyDescent="0.35">
      <c r="AB25">
        <v>2</v>
      </c>
      <c r="AC25">
        <f>AB25-$AC$12</f>
        <v>-1</v>
      </c>
      <c r="AD25">
        <f>IF(AC25&lt;=0,-1,INT((AC25-1)/($AC$10+$AC$11)))</f>
        <v>-1</v>
      </c>
      <c r="AE25">
        <f>IF(AC25&lt;=0,-1,MOD(AC25-1,($AC$10+$AC$11)))</f>
        <v>-1</v>
      </c>
      <c r="AF25">
        <f>IF(OR(AE25&lt;0,AE25&gt;=$AC$10),-1,INT(AE25/$AC$9))</f>
        <v>-1</v>
      </c>
      <c r="AG25">
        <f>IF(OR(AE25&lt;0,AE25&gt;=$AC$10),-1,MOD(AE25,$AC$9))</f>
        <v>-1</v>
      </c>
      <c r="AH25">
        <f>IF(OR(AC25&lt;=0,AE25&lt;0,AE25&gt;=$AC$10,AD25&gt;=$AC$7),1,0)</f>
        <v>1</v>
      </c>
      <c r="AI25">
        <f>IF(AH25=1,-1,AF25)</f>
        <v>-1</v>
      </c>
      <c r="AJ25">
        <f>IF(AH25=1,-1,AD25)</f>
        <v>-1</v>
      </c>
      <c r="AK25" t="str">
        <f>IF(AH25=1,"",IF(AND(MOD(AI25,3)=0,AG25=INT(($AC$9-1)/2)),INDEX($B$5:$M$5,AI25+1),""))</f>
        <v/>
      </c>
      <c r="AL25" t="e">
        <f>IF(AH25=1,NA(),IF(INDEX($B$6:$Y$23,($AC$3-1-0)*$AC$4+AJ25+1,0*$AC$5+AI25+1)="",NA(),0+(INDEX($B$6:$Y$23,($AC$3-1-0)*$AC$4+AJ25+1,0*$AC$5+AI25+1)-$AC$17)/$AC$19*$AC$13))</f>
        <v>#N/A</v>
      </c>
      <c r="AM25" t="e">
        <f>IF(AH25=1,NA(),IF(INDEX($B$6:$Y$23,($AC$3-1-0)*$AC$4+AJ25+1,1*$AC$5+AI25+1)="",NA(),0+(INDEX($B$6:$Y$23,($AC$3-1-0)*$AC$4+AJ25+1,1*$AC$5+AI25+1)-$AC$17)/$AC$19*$AC$13))</f>
        <v>#N/A</v>
      </c>
      <c r="AN25" t="e">
        <f>IF(AH25=1,NA(),IF(INDEX($B$6:$Y$23,($AC$3-1-1)*$AC$4+AJ25+1,0*$AC$5+AI25+1)="",NA(),1+(INDEX($B$6:$Y$23,($AC$3-1-1)*$AC$4+AJ25+1,0*$AC$5+AI25+1)-$AC$17)/$AC$19*$AC$13))</f>
        <v>#N/A</v>
      </c>
      <c r="AO25" t="e">
        <f>IF(AH25=1,NA(),IF(INDEX($B$6:$Y$23,($AC$3-1-1)*$AC$4+AJ25+1,1*$AC$5+AI25+1)="",NA(),1+(INDEX($B$6:$Y$23,($AC$3-1-1)*$AC$4+AJ25+1,1*$AC$5+AI25+1)-$AC$17)/$AC$19*$AC$13))</f>
        <v>#N/A</v>
      </c>
      <c r="AP25" t="e">
        <f>IF(AH25=1,NA(),IF(INDEX($B$6:$Y$23,($AC$3-1-2)*$AC$4+AJ25+1,0*$AC$5+AI25+1)="",NA(),2+(INDEX($B$6:$Y$23,($AC$3-1-2)*$AC$4+AJ25+1,0*$AC$5+AI25+1)-$AC$17)/$AC$19*$AC$13))</f>
        <v>#N/A</v>
      </c>
      <c r="AQ25" t="e">
        <f>IF(AH25=1,NA(),IF(INDEX($B$6:$Y$23,($AC$3-1-2)*$AC$4+AJ25+1,1*$AC$5+AI25+1)="",NA(),2+(INDEX($B$6:$Y$23,($AC$3-1-2)*$AC$4+AJ25+1,1*$AC$5+AI25+1)-$AC$17)/$AC$19*$AC$13))</f>
        <v>#N/A</v>
      </c>
      <c r="AR25" t="e">
        <f>IF(AH25=1,NA(),IF(INDEX($B$6:$Y$23,($AC$3-1-3)*$AC$4+AJ25+1,0*$AC$5+AI25+1)="",NA(),3+(INDEX($B$6:$Y$23,($AC$3-1-3)*$AC$4+AJ25+1,0*$AC$5+AI25+1)-$AC$17)/$AC$19*$AC$13))</f>
        <v>#N/A</v>
      </c>
      <c r="AS25" t="e">
        <f>IF(AH25=1,NA(),IF(INDEX($B$6:$Y$23,($AC$3-1-3)*$AC$4+AJ25+1,1*$AC$5+AI25+1)="",NA(),3+(INDEX($B$6:$Y$23,($AC$3-1-3)*$AC$4+AJ25+1,1*$AC$5+AI25+1)-$AC$17)/$AC$19*$AC$13))</f>
        <v>#N/A</v>
      </c>
      <c r="AT25" t="e">
        <f>IF(AH25=1,NA(),IF(INDEX($B$6:$Y$23,($AC$3-1-4)*$AC$4+AJ25+1,0*$AC$5+AI25+1)="",NA(),4+(INDEX($B$6:$Y$23,($AC$3-1-4)*$AC$4+AJ25+1,0*$AC$5+AI25+1)-$AC$17)/$AC$19*$AC$13))</f>
        <v>#N/A</v>
      </c>
      <c r="AU25" t="e">
        <f>IF(AH25=1,NA(),IF(INDEX($B$6:$Y$23,($AC$3-1-4)*$AC$4+AJ25+1,1*$AC$5+AI25+1)="",NA(),4+(INDEX($B$6:$Y$23,($AC$3-1-4)*$AC$4+AJ25+1,1*$AC$5+AI25+1)-$AC$17)/$AC$19*$AC$13))</f>
        <v>#N/A</v>
      </c>
      <c r="AV25" t="e">
        <f>IF(AH25=1,NA(),IF(INDEX($B$6:$Y$23,($AC$3-1-5)*$AC$4+AJ25+1,0*$AC$5+AI25+1)="",NA(),5+(INDEX($B$6:$Y$23,($AC$3-1-5)*$AC$4+AJ25+1,0*$AC$5+AI25+1)-$AC$17)/$AC$19*$AC$13))</f>
        <v>#N/A</v>
      </c>
      <c r="AW25" t="e">
        <f>IF(AH25=1,NA(),IF(INDEX($B$6:$Y$23,($AC$3-1-5)*$AC$4+AJ25+1,1*$AC$5+AI25+1)="",NA(),5+(INDEX($B$6:$Y$23,($AC$3-1-5)*$AC$4+AJ25+1,1*$AC$5+AI25+1)-$AC$17)/$AC$19*$AC$13))</f>
        <v>#N/A</v>
      </c>
      <c r="AY25" t="str">
        <f>IF(AH25=1,"",IF(INDEX($B$6:$Y$23,($AC$3-1-0)*$AC$4+AJ25+1,0*$AC$5+AI25+1)="","",TEXT(INDEX($B$6:$Y$23,($AC$3-1-0)*$AC$4+AJ25+1,0*$AC$5+AI25+1),"#,##0")))</f>
        <v/>
      </c>
      <c r="AZ25" t="str">
        <f>IF(AH25=1,"",IF(INDEX($B$6:$Y$23,($AC$3-1-0)*$AC$4+AJ25+1,1*$AC$5+AI25+1)="","",TEXT(INDEX($B$6:$Y$23,($AC$3-1-0)*$AC$4+AJ25+1,1*$AC$5+AI25+1),"#,##0")))</f>
        <v/>
      </c>
      <c r="BA25" t="str">
        <f>IF(AH25=1,"",IF(INDEX($B$6:$Y$23,($AC$3-1-1)*$AC$4+AJ25+1,0*$AC$5+AI25+1)="","",TEXT(INDEX($B$6:$Y$23,($AC$3-1-1)*$AC$4+AJ25+1,0*$AC$5+AI25+1),"#,##0")))</f>
        <v/>
      </c>
      <c r="BB25" t="str">
        <f>IF(AH25=1,"",IF(INDEX($B$6:$Y$23,($AC$3-1-1)*$AC$4+AJ25+1,1*$AC$5+AI25+1)="","",TEXT(INDEX($B$6:$Y$23,($AC$3-1-1)*$AC$4+AJ25+1,1*$AC$5+AI25+1),"#,##0")))</f>
        <v/>
      </c>
      <c r="BC25" t="str">
        <f>IF(AH25=1,"",IF(INDEX($B$6:$Y$23,($AC$3-1-2)*$AC$4+AJ25+1,0*$AC$5+AI25+1)="","",TEXT(INDEX($B$6:$Y$23,($AC$3-1-2)*$AC$4+AJ25+1,0*$AC$5+AI25+1),"#,##0")))</f>
        <v/>
      </c>
      <c r="BD25" t="str">
        <f>IF(AH25=1,"",IF(INDEX($B$6:$Y$23,($AC$3-1-2)*$AC$4+AJ25+1,1*$AC$5+AI25+1)="","",TEXT(INDEX($B$6:$Y$23,($AC$3-1-2)*$AC$4+AJ25+1,1*$AC$5+AI25+1),"#,##0")))</f>
        <v/>
      </c>
      <c r="BE25" t="str">
        <f>IF(AH25=1,"",IF(INDEX($B$6:$Y$23,($AC$3-1-3)*$AC$4+AJ25+1,0*$AC$5+AI25+1)="","",TEXT(INDEX($B$6:$Y$23,($AC$3-1-3)*$AC$4+AJ25+1,0*$AC$5+AI25+1),"#,##0")))</f>
        <v/>
      </c>
      <c r="BF25" t="str">
        <f>IF(AH25=1,"",IF(INDEX($B$6:$Y$23,($AC$3-1-3)*$AC$4+AJ25+1,1*$AC$5+AI25+1)="","",TEXT(INDEX($B$6:$Y$23,($AC$3-1-3)*$AC$4+AJ25+1,1*$AC$5+AI25+1),"#,##0")))</f>
        <v/>
      </c>
      <c r="BG25" t="str">
        <f>IF(AH25=1,"",IF(INDEX($B$6:$Y$23,($AC$3-1-4)*$AC$4+AJ25+1,0*$AC$5+AI25+1)="","",TEXT(INDEX($B$6:$Y$23,($AC$3-1-4)*$AC$4+AJ25+1,0*$AC$5+AI25+1),"#,##0")))</f>
        <v/>
      </c>
      <c r="BH25" t="str">
        <f>IF(AH25=1,"",IF(INDEX($B$6:$Y$23,($AC$3-1-4)*$AC$4+AJ25+1,1*$AC$5+AI25+1)="","",TEXT(INDEX($B$6:$Y$23,($AC$3-1-4)*$AC$4+AJ25+1,1*$AC$5+AI25+1),"#,##0")))</f>
        <v/>
      </c>
      <c r="BI25" t="str">
        <f>IF(AH25=1,"",IF(INDEX($B$6:$Y$23,($AC$3-1-5)*$AC$4+AJ25+1,0*$AC$5+AI25+1)="","",TEXT(INDEX($B$6:$Y$23,($AC$3-1-5)*$AC$4+AJ25+1,0*$AC$5+AI25+1),"#,##0")))</f>
        <v/>
      </c>
      <c r="BJ25" t="str">
        <f>IF(AH25=1,"",IF(INDEX($B$6:$Y$23,($AC$3-1-5)*$AC$4+AJ25+1,1*$AC$5+AI25+1)="","",TEXT(INDEX($B$6:$Y$23,($AC$3-1-5)*$AC$4+AJ25+1,1*$AC$5+AI25+1),"#,##0")))</f>
        <v/>
      </c>
      <c r="BL25">
        <v>16</v>
      </c>
      <c r="BM25">
        <v>6</v>
      </c>
      <c r="BO25">
        <v>41.5</v>
      </c>
      <c r="BP25">
        <v>0.90999999999999992</v>
      </c>
      <c r="BR25">
        <v>15.5</v>
      </c>
      <c r="BS25" t="e">
        <f>IF(OR($AC$17&gt;0,$AC$18&lt;0),NA(),0+$AC$20)</f>
        <v>#N/A</v>
      </c>
      <c r="BU25">
        <v>17</v>
      </c>
      <c r="BV25">
        <f>5+$AC$13+0.03</f>
        <v>5.8500000000000005</v>
      </c>
      <c r="BW25" t="str">
        <f>Dot!$A$7</f>
        <v>Business partner 02</v>
      </c>
      <c r="BY25">
        <v>3.35</v>
      </c>
      <c r="BZ25">
        <f>0+0.5*$AC$13</f>
        <v>0.41</v>
      </c>
      <c r="CA25" t="str">
        <f>TEXT($AC$17+($AC$18-$AC$17)*0.5,"#,##0")</f>
        <v>800</v>
      </c>
    </row>
    <row r="26" spans="1:84" x14ac:dyDescent="0.35">
      <c r="AB26">
        <v>3</v>
      </c>
      <c r="AC26">
        <f>AB26-$AC$12</f>
        <v>0</v>
      </c>
      <c r="AD26">
        <f>IF(AC26&lt;=0,-1,INT((AC26-1)/($AC$10+$AC$11)))</f>
        <v>-1</v>
      </c>
      <c r="AE26">
        <f>IF(AC26&lt;=0,-1,MOD(AC26-1,($AC$10+$AC$11)))</f>
        <v>-1</v>
      </c>
      <c r="AF26">
        <f>IF(OR(AE26&lt;0,AE26&gt;=$AC$10),-1,INT(AE26/$AC$9))</f>
        <v>-1</v>
      </c>
      <c r="AG26">
        <f>IF(OR(AE26&lt;0,AE26&gt;=$AC$10),-1,MOD(AE26,$AC$9))</f>
        <v>-1</v>
      </c>
      <c r="AH26">
        <f>IF(OR(AC26&lt;=0,AE26&lt;0,AE26&gt;=$AC$10,AD26&gt;=$AC$7),1,0)</f>
        <v>1</v>
      </c>
      <c r="AI26">
        <f>IF(AH26=1,-1,AF26)</f>
        <v>-1</v>
      </c>
      <c r="AJ26">
        <f>IF(AH26=1,-1,AD26)</f>
        <v>-1</v>
      </c>
      <c r="AK26" t="str">
        <f>IF(AH26=1,"",IF(AND(MOD(AI26,3)=0,AG26=INT(($AC$9-1)/2)),INDEX($B$5:$M$5,AI26+1),""))</f>
        <v/>
      </c>
      <c r="AL26" t="e">
        <f>IF(AH26=1,NA(),IF(INDEX($B$6:$Y$23,($AC$3-1-0)*$AC$4+AJ26+1,0*$AC$5+AI26+1)="",NA(),0+(INDEX($B$6:$Y$23,($AC$3-1-0)*$AC$4+AJ26+1,0*$AC$5+AI26+1)-$AC$17)/$AC$19*$AC$13))</f>
        <v>#N/A</v>
      </c>
      <c r="AM26" t="e">
        <f>IF(AH26=1,NA(),IF(INDEX($B$6:$Y$23,($AC$3-1-0)*$AC$4+AJ26+1,1*$AC$5+AI26+1)="",NA(),0+(INDEX($B$6:$Y$23,($AC$3-1-0)*$AC$4+AJ26+1,1*$AC$5+AI26+1)-$AC$17)/$AC$19*$AC$13))</f>
        <v>#N/A</v>
      </c>
      <c r="AN26" t="e">
        <f>IF(AH26=1,NA(),IF(INDEX($B$6:$Y$23,($AC$3-1-1)*$AC$4+AJ26+1,0*$AC$5+AI26+1)="",NA(),1+(INDEX($B$6:$Y$23,($AC$3-1-1)*$AC$4+AJ26+1,0*$AC$5+AI26+1)-$AC$17)/$AC$19*$AC$13))</f>
        <v>#N/A</v>
      </c>
      <c r="AO26" t="e">
        <f>IF(AH26=1,NA(),IF(INDEX($B$6:$Y$23,($AC$3-1-1)*$AC$4+AJ26+1,1*$AC$5+AI26+1)="",NA(),1+(INDEX($B$6:$Y$23,($AC$3-1-1)*$AC$4+AJ26+1,1*$AC$5+AI26+1)-$AC$17)/$AC$19*$AC$13))</f>
        <v>#N/A</v>
      </c>
      <c r="AP26" t="e">
        <f>IF(AH26=1,NA(),IF(INDEX($B$6:$Y$23,($AC$3-1-2)*$AC$4+AJ26+1,0*$AC$5+AI26+1)="",NA(),2+(INDEX($B$6:$Y$23,($AC$3-1-2)*$AC$4+AJ26+1,0*$AC$5+AI26+1)-$AC$17)/$AC$19*$AC$13))</f>
        <v>#N/A</v>
      </c>
      <c r="AQ26" t="e">
        <f>IF(AH26=1,NA(),IF(INDEX($B$6:$Y$23,($AC$3-1-2)*$AC$4+AJ26+1,1*$AC$5+AI26+1)="",NA(),2+(INDEX($B$6:$Y$23,($AC$3-1-2)*$AC$4+AJ26+1,1*$AC$5+AI26+1)-$AC$17)/$AC$19*$AC$13))</f>
        <v>#N/A</v>
      </c>
      <c r="AR26" t="e">
        <f>IF(AH26=1,NA(),IF(INDEX($B$6:$Y$23,($AC$3-1-3)*$AC$4+AJ26+1,0*$AC$5+AI26+1)="",NA(),3+(INDEX($B$6:$Y$23,($AC$3-1-3)*$AC$4+AJ26+1,0*$AC$5+AI26+1)-$AC$17)/$AC$19*$AC$13))</f>
        <v>#N/A</v>
      </c>
      <c r="AS26" t="e">
        <f>IF(AH26=1,NA(),IF(INDEX($B$6:$Y$23,($AC$3-1-3)*$AC$4+AJ26+1,1*$AC$5+AI26+1)="",NA(),3+(INDEX($B$6:$Y$23,($AC$3-1-3)*$AC$4+AJ26+1,1*$AC$5+AI26+1)-$AC$17)/$AC$19*$AC$13))</f>
        <v>#N/A</v>
      </c>
      <c r="AT26" t="e">
        <f>IF(AH26=1,NA(),IF(INDEX($B$6:$Y$23,($AC$3-1-4)*$AC$4+AJ26+1,0*$AC$5+AI26+1)="",NA(),4+(INDEX($B$6:$Y$23,($AC$3-1-4)*$AC$4+AJ26+1,0*$AC$5+AI26+1)-$AC$17)/$AC$19*$AC$13))</f>
        <v>#N/A</v>
      </c>
      <c r="AU26" t="e">
        <f>IF(AH26=1,NA(),IF(INDEX($B$6:$Y$23,($AC$3-1-4)*$AC$4+AJ26+1,1*$AC$5+AI26+1)="",NA(),4+(INDEX($B$6:$Y$23,($AC$3-1-4)*$AC$4+AJ26+1,1*$AC$5+AI26+1)-$AC$17)/$AC$19*$AC$13))</f>
        <v>#N/A</v>
      </c>
      <c r="AV26" t="e">
        <f>IF(AH26=1,NA(),IF(INDEX($B$6:$Y$23,($AC$3-1-5)*$AC$4+AJ26+1,0*$AC$5+AI26+1)="",NA(),5+(INDEX($B$6:$Y$23,($AC$3-1-5)*$AC$4+AJ26+1,0*$AC$5+AI26+1)-$AC$17)/$AC$19*$AC$13))</f>
        <v>#N/A</v>
      </c>
      <c r="AW26" t="e">
        <f>IF(AH26=1,NA(),IF(INDEX($B$6:$Y$23,($AC$3-1-5)*$AC$4+AJ26+1,1*$AC$5+AI26+1)="",NA(),5+(INDEX($B$6:$Y$23,($AC$3-1-5)*$AC$4+AJ26+1,1*$AC$5+AI26+1)-$AC$17)/$AC$19*$AC$13))</f>
        <v>#N/A</v>
      </c>
      <c r="AY26" t="str">
        <f>IF(AH26=1,"",IF(INDEX($B$6:$Y$23,($AC$3-1-0)*$AC$4+AJ26+1,0*$AC$5+AI26+1)="","",TEXT(INDEX($B$6:$Y$23,($AC$3-1-0)*$AC$4+AJ26+1,0*$AC$5+AI26+1),"#,##0")))</f>
        <v/>
      </c>
      <c r="AZ26" t="str">
        <f>IF(AH26=1,"",IF(INDEX($B$6:$Y$23,($AC$3-1-0)*$AC$4+AJ26+1,1*$AC$5+AI26+1)="","",TEXT(INDEX($B$6:$Y$23,($AC$3-1-0)*$AC$4+AJ26+1,1*$AC$5+AI26+1),"#,##0")))</f>
        <v/>
      </c>
      <c r="BA26" t="str">
        <f>IF(AH26=1,"",IF(INDEX($B$6:$Y$23,($AC$3-1-1)*$AC$4+AJ26+1,0*$AC$5+AI26+1)="","",TEXT(INDEX($B$6:$Y$23,($AC$3-1-1)*$AC$4+AJ26+1,0*$AC$5+AI26+1),"#,##0")))</f>
        <v/>
      </c>
      <c r="BB26" t="str">
        <f>IF(AH26=1,"",IF(INDEX($B$6:$Y$23,($AC$3-1-1)*$AC$4+AJ26+1,1*$AC$5+AI26+1)="","",TEXT(INDEX($B$6:$Y$23,($AC$3-1-1)*$AC$4+AJ26+1,1*$AC$5+AI26+1),"#,##0")))</f>
        <v/>
      </c>
      <c r="BC26" t="str">
        <f>IF(AH26=1,"",IF(INDEX($B$6:$Y$23,($AC$3-1-2)*$AC$4+AJ26+1,0*$AC$5+AI26+1)="","",TEXT(INDEX($B$6:$Y$23,($AC$3-1-2)*$AC$4+AJ26+1,0*$AC$5+AI26+1),"#,##0")))</f>
        <v/>
      </c>
      <c r="BD26" t="str">
        <f>IF(AH26=1,"",IF(INDEX($B$6:$Y$23,($AC$3-1-2)*$AC$4+AJ26+1,1*$AC$5+AI26+1)="","",TEXT(INDEX($B$6:$Y$23,($AC$3-1-2)*$AC$4+AJ26+1,1*$AC$5+AI26+1),"#,##0")))</f>
        <v/>
      </c>
      <c r="BE26" t="str">
        <f>IF(AH26=1,"",IF(INDEX($B$6:$Y$23,($AC$3-1-3)*$AC$4+AJ26+1,0*$AC$5+AI26+1)="","",TEXT(INDEX($B$6:$Y$23,($AC$3-1-3)*$AC$4+AJ26+1,0*$AC$5+AI26+1),"#,##0")))</f>
        <v/>
      </c>
      <c r="BF26" t="str">
        <f>IF(AH26=1,"",IF(INDEX($B$6:$Y$23,($AC$3-1-3)*$AC$4+AJ26+1,1*$AC$5+AI26+1)="","",TEXT(INDEX($B$6:$Y$23,($AC$3-1-3)*$AC$4+AJ26+1,1*$AC$5+AI26+1),"#,##0")))</f>
        <v/>
      </c>
      <c r="BG26" t="str">
        <f>IF(AH26=1,"",IF(INDEX($B$6:$Y$23,($AC$3-1-4)*$AC$4+AJ26+1,0*$AC$5+AI26+1)="","",TEXT(INDEX($B$6:$Y$23,($AC$3-1-4)*$AC$4+AJ26+1,0*$AC$5+AI26+1),"#,##0")))</f>
        <v/>
      </c>
      <c r="BH26" t="str">
        <f>IF(AH26=1,"",IF(INDEX($B$6:$Y$23,($AC$3-1-4)*$AC$4+AJ26+1,1*$AC$5+AI26+1)="","",TEXT(INDEX($B$6:$Y$23,($AC$3-1-4)*$AC$4+AJ26+1,1*$AC$5+AI26+1),"#,##0")))</f>
        <v/>
      </c>
      <c r="BI26" t="str">
        <f>IF(AH26=1,"",IF(INDEX($B$6:$Y$23,($AC$3-1-5)*$AC$4+AJ26+1,0*$AC$5+AI26+1)="","",TEXT(INDEX($B$6:$Y$23,($AC$3-1-5)*$AC$4+AJ26+1,0*$AC$5+AI26+1),"#,##0")))</f>
        <v/>
      </c>
      <c r="BJ26" t="str">
        <f>IF(AH26=1,"",IF(INDEX($B$6:$Y$23,($AC$3-1-5)*$AC$4+AJ26+1,1*$AC$5+AI26+1)="","",TEXT(INDEX($B$6:$Y$23,($AC$3-1-5)*$AC$4+AJ26+1,1*$AC$5+AI26+1),"#,##0")))</f>
        <v/>
      </c>
      <c r="BL26">
        <v>16</v>
      </c>
      <c r="BM26" t="e">
        <f>NA()</f>
        <v>#N/A</v>
      </c>
      <c r="BO26">
        <v>41.5</v>
      </c>
      <c r="BP26" t="e">
        <f>NA()</f>
        <v>#N/A</v>
      </c>
      <c r="BR26">
        <v>15.5</v>
      </c>
      <c r="BS26" t="e">
        <f>NA()</f>
        <v>#N/A</v>
      </c>
      <c r="BU26">
        <v>30</v>
      </c>
      <c r="BV26">
        <f>5+$AC$13+0.03</f>
        <v>5.8500000000000005</v>
      </c>
      <c r="BW26" t="str">
        <f>Dot!$A$8</f>
        <v>Business partner 03</v>
      </c>
      <c r="BY26">
        <v>3.35</v>
      </c>
      <c r="BZ26">
        <f>0+1*$AC$13</f>
        <v>0.82</v>
      </c>
      <c r="CA26" t="str">
        <f>TEXT($AC$17+($AC$18-$AC$17)*1,"#,##0")</f>
        <v>1,250</v>
      </c>
    </row>
    <row r="27" spans="1:84" x14ac:dyDescent="0.35">
      <c r="AB27">
        <v>4</v>
      </c>
      <c r="AC27">
        <f>AB27-$AC$12</f>
        <v>1</v>
      </c>
      <c r="AD27">
        <f>IF(AC27&lt;=0,-1,INT((AC27-1)/($AC$10+$AC$11)))</f>
        <v>0</v>
      </c>
      <c r="AE27">
        <f>IF(AC27&lt;=0,-1,MOD(AC27-1,($AC$10+$AC$11)))</f>
        <v>0</v>
      </c>
      <c r="AF27">
        <f>IF(OR(AE27&lt;0,AE27&gt;=$AC$10),-1,INT(AE27/$AC$9))</f>
        <v>0</v>
      </c>
      <c r="AG27">
        <f>IF(OR(AE27&lt;0,AE27&gt;=$AC$10),-1,MOD(AE27,$AC$9))</f>
        <v>0</v>
      </c>
      <c r="AH27">
        <f>IF(OR(AC27&lt;=0,AE27&lt;0,AE27&gt;=$AC$10,AD27&gt;=$AC$7),1,0)</f>
        <v>0</v>
      </c>
      <c r="AI27">
        <f>IF(AH27=1,-1,AF27)</f>
        <v>0</v>
      </c>
      <c r="AJ27">
        <f>IF(AH27=1,-1,AD27)</f>
        <v>0</v>
      </c>
      <c r="AK27" t="str">
        <f>IF(AH27=1,"",IF(AND(MOD(AI27,3)=0,AG27=INT(($AC$9-1)/2)),INDEX($B$5:$M$5,AI27+1),""))</f>
        <v>Jan</v>
      </c>
      <c r="AL27">
        <f>IF(AH27=1,NA(),IF(INDEX($B$6:$Y$23,($AC$3-1-0)*$AC$4+AJ27+1,0*$AC$5+AI27+1)="",NA(),0+(INDEX($B$6:$Y$23,($AC$3-1-0)*$AC$4+AJ27+1,0*$AC$5+AI27+1)-$AC$17)/$AC$19*$AC$13))</f>
        <v>9.1111111111111101E-2</v>
      </c>
      <c r="AM27">
        <f>IF(AH27=1,NA(),IF(INDEX($B$6:$Y$23,($AC$3-1-0)*$AC$4+AJ27+1,1*$AC$5+AI27+1)="",NA(),0+(INDEX($B$6:$Y$23,($AC$3-1-0)*$AC$4+AJ27+1,1*$AC$5+AI27+1)-$AC$17)/$AC$19*$AC$13))</f>
        <v>0.10450444444444444</v>
      </c>
      <c r="AN27">
        <f>IF(AH27=1,NA(),IF(INDEX($B$6:$Y$23,($AC$3-1-1)*$AC$4+AJ27+1,0*$AC$5+AI27+1)="",NA(),1+(INDEX($B$6:$Y$23,($AC$3-1-1)*$AC$4+AJ27+1,0*$AC$5+AI27+1)-$AC$17)/$AC$19*$AC$13))</f>
        <v>1.1412222222222221</v>
      </c>
      <c r="AO27">
        <f>IF(AH27=1,NA(),IF(INDEX($B$6:$Y$23,($AC$3-1-1)*$AC$4+AJ27+1,1*$AC$5+AI27+1)="",NA(),1+(INDEX($B$6:$Y$23,($AC$3-1-1)*$AC$4+AJ27+1,1*$AC$5+AI27+1)-$AC$17)/$AC$19*$AC$13))</f>
        <v>1.1530666666666667</v>
      </c>
      <c r="AP27">
        <f>IF(AH27=1,NA(),IF(INDEX($B$6:$Y$23,($AC$3-1-2)*$AC$4+AJ27+1,0*$AC$5+AI27+1)="",NA(),2+(INDEX($B$6:$Y$23,($AC$3-1-2)*$AC$4+AJ27+1,0*$AC$5+AI27+1)-$AC$17)/$AC$19*$AC$13))</f>
        <v>2.1913333333333331</v>
      </c>
      <c r="AQ27">
        <f>IF(AH27=1,NA(),IF(INDEX($B$6:$Y$23,($AC$3-1-2)*$AC$4+AJ27+1,1*$AC$5+AI27+1)="",NA(),2+(INDEX($B$6:$Y$23,($AC$3-1-2)*$AC$4+AJ27+1,1*$AC$5+AI27+1)-$AC$17)/$AC$19*$AC$13))</f>
        <v>2.2017199999999999</v>
      </c>
      <c r="AR27">
        <f>IF(AH27=1,NA(),IF(INDEX($B$6:$Y$23,($AC$3-1-3)*$AC$4+AJ27+1,0*$AC$5+AI27+1)="",NA(),3+(INDEX($B$6:$Y$23,($AC$3-1-3)*$AC$4+AJ27+1,0*$AC$5+AI27+1)-$AC$17)/$AC$19*$AC$13))</f>
        <v>3.2414444444444444</v>
      </c>
      <c r="AS27">
        <f>IF(AH27=1,NA(),IF(INDEX($B$6:$Y$23,($AC$3-1-3)*$AC$4+AJ27+1,1*$AC$5+AI27+1)="",NA(),3+(INDEX($B$6:$Y$23,($AC$3-1-3)*$AC$4+AJ27+1,1*$AC$5+AI27+1)-$AC$17)/$AC$19*$AC$13))</f>
        <v>3.2503733333333331</v>
      </c>
      <c r="AT27">
        <f>IF(AH27=1,NA(),IF(INDEX($B$6:$Y$23,($AC$3-1-4)*$AC$4+AJ27+1,0*$AC$5+AI27+1)="",NA(),4+(INDEX($B$6:$Y$23,($AC$3-1-4)*$AC$4+AJ27+1,0*$AC$5+AI27+1)-$AC$17)/$AC$19*$AC$13))</f>
        <v>4.291555555555556</v>
      </c>
      <c r="AU27">
        <f>IF(AH27=1,NA(),IF(INDEX($B$6:$Y$23,($AC$3-1-4)*$AC$4+AJ27+1,1*$AC$5+AI27+1)="",NA(),4+(INDEX($B$6:$Y$23,($AC$3-1-4)*$AC$4+AJ27+1,1*$AC$5+AI27+1)-$AC$17)/$AC$19*$AC$13))</f>
        <v>4.2989355555555555</v>
      </c>
      <c r="AV27">
        <f>IF(AH27=1,NA(),IF(INDEX($B$6:$Y$23,($AC$3-1-5)*$AC$4+AJ27+1,0*$AC$5+AI27+1)="",NA(),5+(INDEX($B$6:$Y$23,($AC$3-1-5)*$AC$4+AJ27+1,0*$AC$5+AI27+1)-$AC$17)/$AC$19*$AC$13))</f>
        <v>5.3416666666666668</v>
      </c>
      <c r="AW27">
        <f>IF(AH27=1,NA(),IF(INDEX($B$6:$Y$23,($AC$3-1-5)*$AC$4+AJ27+1,1*$AC$5+AI27+1)="",NA(),5+(INDEX($B$6:$Y$23,($AC$3-1-5)*$AC$4+AJ27+1,1*$AC$5+AI27+1)-$AC$17)/$AC$19*$AC$13))</f>
        <v>5.3474977777777779</v>
      </c>
      <c r="AY27" t="str">
        <f>IF(AH27=1,"",IF(INDEX($B$6:$Y$23,($AC$3-1-0)*$AC$4+AJ27+1,0*$AC$5+AI27+1)="","",TEXT(INDEX($B$6:$Y$23,($AC$3-1-0)*$AC$4+AJ27+1,0*$AC$5+AI27+1),"#,##0")))</f>
        <v>450</v>
      </c>
      <c r="AZ27" t="str">
        <f>IF(AH27=1,"",IF(INDEX($B$6:$Y$23,($AC$3-1-0)*$AC$4+AJ27+1,1*$AC$5+AI27+1)="","",TEXT(INDEX($B$6:$Y$23,($AC$3-1-0)*$AC$4+AJ27+1,1*$AC$5+AI27+1),"#,##0")))</f>
        <v>465</v>
      </c>
      <c r="BA27" t="str">
        <f>IF(AH27=1,"",IF(INDEX($B$6:$Y$23,($AC$3-1-1)*$AC$4+AJ27+1,0*$AC$5+AI27+1)="","",TEXT(INDEX($B$6:$Y$23,($AC$3-1-1)*$AC$4+AJ27+1,0*$AC$5+AI27+1),"#,##0")))</f>
        <v>505</v>
      </c>
      <c r="BB27" t="str">
        <f>IF(AH27=1,"",IF(INDEX($B$6:$Y$23,($AC$3-1-1)*$AC$4+AJ27+1,1*$AC$5+AI27+1)="","",TEXT(INDEX($B$6:$Y$23,($AC$3-1-1)*$AC$4+AJ27+1,1*$AC$5+AI27+1),"#,##0")))</f>
        <v>518</v>
      </c>
      <c r="BC27" t="str">
        <f>IF(AH27=1,"",IF(INDEX($B$6:$Y$23,($AC$3-1-2)*$AC$4+AJ27+1,0*$AC$5+AI27+1)="","",TEXT(INDEX($B$6:$Y$23,($AC$3-1-2)*$AC$4+AJ27+1,0*$AC$5+AI27+1),"#,##0")))</f>
        <v>560</v>
      </c>
      <c r="BD27" t="str">
        <f>IF(AH27=1,"",IF(INDEX($B$6:$Y$23,($AC$3-1-2)*$AC$4+AJ27+1,1*$AC$5+AI27+1)="","",TEXT(INDEX($B$6:$Y$23,($AC$3-1-2)*$AC$4+AJ27+1,1*$AC$5+AI27+1),"#,##0")))</f>
        <v>571</v>
      </c>
      <c r="BE27" t="str">
        <f>IF(AH27=1,"",IF(INDEX($B$6:$Y$23,($AC$3-1-3)*$AC$4+AJ27+1,0*$AC$5+AI27+1)="","",TEXT(INDEX($B$6:$Y$23,($AC$3-1-3)*$AC$4+AJ27+1,0*$AC$5+AI27+1),"#,##0")))</f>
        <v>615</v>
      </c>
      <c r="BF27" t="str">
        <f>IF(AH27=1,"",IF(INDEX($B$6:$Y$23,($AC$3-1-3)*$AC$4+AJ27+1,1*$AC$5+AI27+1)="","",TEXT(INDEX($B$6:$Y$23,($AC$3-1-3)*$AC$4+AJ27+1,1*$AC$5+AI27+1),"#,##0")))</f>
        <v>625</v>
      </c>
      <c r="BG27" t="str">
        <f>IF(AH27=1,"",IF(INDEX($B$6:$Y$23,($AC$3-1-4)*$AC$4+AJ27+1,0*$AC$5+AI27+1)="","",TEXT(INDEX($B$6:$Y$23,($AC$3-1-4)*$AC$4+AJ27+1,0*$AC$5+AI27+1),"#,##0")))</f>
        <v>670</v>
      </c>
      <c r="BH27" t="str">
        <f>IF(AH27=1,"",IF(INDEX($B$6:$Y$23,($AC$3-1-4)*$AC$4+AJ27+1,1*$AC$5+AI27+1)="","",TEXT(INDEX($B$6:$Y$23,($AC$3-1-4)*$AC$4+AJ27+1,1*$AC$5+AI27+1),"#,##0")))</f>
        <v>678</v>
      </c>
      <c r="BI27" t="str">
        <f>IF(AH27=1,"",IF(INDEX($B$6:$Y$23,($AC$3-1-5)*$AC$4+AJ27+1,0*$AC$5+AI27+1)="","",TEXT(INDEX($B$6:$Y$23,($AC$3-1-5)*$AC$4+AJ27+1,0*$AC$5+AI27+1),"#,##0")))</f>
        <v>725</v>
      </c>
      <c r="BJ27" t="str">
        <f>IF(AH27=1,"",IF(INDEX($B$6:$Y$23,($AC$3-1-5)*$AC$4+AJ27+1,1*$AC$5+AI27+1)="","",TEXT(INDEX($B$6:$Y$23,($AC$3-1-5)*$AC$4+AJ27+1,1*$AC$5+AI27+1),"#,##0")))</f>
        <v>731</v>
      </c>
      <c r="BL27">
        <v>29</v>
      </c>
      <c r="BM27">
        <v>0</v>
      </c>
      <c r="BO27">
        <v>0.5</v>
      </c>
      <c r="BP27">
        <v>1.91</v>
      </c>
      <c r="BR27">
        <v>16.5</v>
      </c>
      <c r="BS27" t="e">
        <f>IF(OR($AC$17&gt;0,$AC$18&lt;0),NA(),0+$AC$20)</f>
        <v>#N/A</v>
      </c>
      <c r="BU27">
        <v>4</v>
      </c>
      <c r="BV27">
        <f>4+$AC$13+0.03</f>
        <v>4.8500000000000005</v>
      </c>
      <c r="BW27" t="str">
        <f>Dot!$A$9</f>
        <v>Business partner 04</v>
      </c>
      <c r="BY27">
        <v>3.35</v>
      </c>
      <c r="BZ27">
        <f>1+0*$AC$13</f>
        <v>1</v>
      </c>
      <c r="CA27" t="str">
        <f>TEXT($AC$17+($AC$18-$AC$17)*0,"#,##0")</f>
        <v>350</v>
      </c>
    </row>
    <row r="28" spans="1:84" x14ac:dyDescent="0.35">
      <c r="AB28">
        <v>5</v>
      </c>
      <c r="AC28">
        <f>AB28-$AC$12</f>
        <v>2</v>
      </c>
      <c r="AD28">
        <f>IF(AC28&lt;=0,-1,INT((AC28-1)/($AC$10+$AC$11)))</f>
        <v>0</v>
      </c>
      <c r="AE28">
        <f>IF(AC28&lt;=0,-1,MOD(AC28-1,($AC$10+$AC$11)))</f>
        <v>1</v>
      </c>
      <c r="AF28">
        <f>IF(OR(AE28&lt;0,AE28&gt;=$AC$10),-1,INT(AE28/$AC$9))</f>
        <v>1</v>
      </c>
      <c r="AG28">
        <f>IF(OR(AE28&lt;0,AE28&gt;=$AC$10),-1,MOD(AE28,$AC$9))</f>
        <v>0</v>
      </c>
      <c r="AH28">
        <f>IF(OR(AC28&lt;=0,AE28&lt;0,AE28&gt;=$AC$10,AD28&gt;=$AC$7),1,0)</f>
        <v>0</v>
      </c>
      <c r="AI28">
        <f>IF(AH28=1,-1,AF28)</f>
        <v>1</v>
      </c>
      <c r="AJ28">
        <f>IF(AH28=1,-1,AD28)</f>
        <v>0</v>
      </c>
      <c r="AK28" t="str">
        <f>IF(AH28=1,"",IF(AND(MOD(AI28,3)=0,AG28=INT(($AC$9-1)/2)),INDEX($B$5:$M$5,AI28+1),""))</f>
        <v/>
      </c>
      <c r="AL28">
        <f>IF(AH28=1,NA(),IF(INDEX($B$6:$Y$23,($AC$3-1-0)*$AC$4+AJ28+1,0*$AC$5+AI28+1)="",NA(),0+(INDEX($B$6:$Y$23,($AC$3-1-0)*$AC$4+AJ28+1,0*$AC$5+AI28+1)-$AC$17)/$AC$19*$AC$13))</f>
        <v>0.15743999999999994</v>
      </c>
      <c r="AM28">
        <f>IF(AH28=1,NA(),IF(INDEX($B$6:$Y$23,($AC$3-1-0)*$AC$4+AJ28+1,1*$AC$5+AI28+1)="",NA(),0+(INDEX($B$6:$Y$23,($AC$3-1-0)*$AC$4+AJ28+1,1*$AC$5+AI28+1)-$AC$17)/$AC$19*$AC$13))</f>
        <v>0.14313555555555557</v>
      </c>
      <c r="AN28">
        <f>IF(AH28=1,NA(),IF(INDEX($B$6:$Y$23,($AC$3-1-1)*$AC$4+AJ28+1,0*$AC$5+AI28+1)="",NA(),1+(INDEX($B$6:$Y$23,($AC$3-1-1)*$AC$4+AJ28+1,0*$AC$5+AI28+1)-$AC$17)/$AC$19*$AC$13))</f>
        <v>1.2087355555555557</v>
      </c>
      <c r="AO28">
        <f>IF(AH28=1,NA(),IF(INDEX($B$6:$Y$23,($AC$3-1-1)*$AC$4+AJ28+1,1*$AC$5+AI28+1)="",NA(),1+(INDEX($B$6:$Y$23,($AC$3-1-1)*$AC$4+AJ28+1,1*$AC$5+AI28+1)-$AC$17)/$AC$19*$AC$13))</f>
        <v>1.1929733333333332</v>
      </c>
      <c r="AP28">
        <f>IF(AH28=1,NA(),IF(INDEX($B$6:$Y$23,($AC$3-1-2)*$AC$4+AJ28+1,0*$AC$5+AI28+1)="",NA(),2+(INDEX($B$6:$Y$23,($AC$3-1-2)*$AC$4+AJ28+1,0*$AC$5+AI28+1)-$AC$17)/$AC$19*$AC$13))</f>
        <v>2.2601222222222224</v>
      </c>
      <c r="AQ28">
        <f>IF(AH28=1,NA(),IF(INDEX($B$6:$Y$23,($AC$3-1-2)*$AC$4+AJ28+1,1*$AC$5+AI28+1)="",NA(),2+(INDEX($B$6:$Y$23,($AC$3-1-2)*$AC$4+AJ28+1,1*$AC$5+AI28+1)-$AC$17)/$AC$19*$AC$13))</f>
        <v>2.2427199999999998</v>
      </c>
      <c r="AR28">
        <f>IF(AH28=1,NA(),IF(INDEX($B$6:$Y$23,($AC$3-1-3)*$AC$4+AJ28+1,0*$AC$5+AI28+1)="",NA(),3+(INDEX($B$6:$Y$23,($AC$3-1-3)*$AC$4+AJ28+1,0*$AC$5+AI28+1)-$AC$17)/$AC$19*$AC$13))</f>
        <v>3.3115088888888891</v>
      </c>
      <c r="AS28">
        <f>IF(AH28=1,NA(),IF(INDEX($B$6:$Y$23,($AC$3-1-3)*$AC$4+AJ28+1,1*$AC$5+AI28+1)="",NA(),3+(INDEX($B$6:$Y$23,($AC$3-1-3)*$AC$4+AJ28+1,1*$AC$5+AI28+1)-$AC$17)/$AC$19*$AC$13))</f>
        <v>3.2925577777777777</v>
      </c>
      <c r="AT28">
        <f>IF(AH28=1,NA(),IF(INDEX($B$6:$Y$23,($AC$3-1-4)*$AC$4+AJ28+1,0*$AC$5+AI28+1)="",NA(),4+(INDEX($B$6:$Y$23,($AC$3-1-4)*$AC$4+AJ28+1,0*$AC$5+AI28+1)-$AC$17)/$AC$19*$AC$13))</f>
        <v>4.3628044444444445</v>
      </c>
      <c r="AU28">
        <f>IF(AH28=1,NA(),IF(INDEX($B$6:$Y$23,($AC$3-1-4)*$AC$4+AJ28+1,1*$AC$5+AI28+1)="",NA(),4+(INDEX($B$6:$Y$23,($AC$3-1-4)*$AC$4+AJ28+1,1*$AC$5+AI28+1)-$AC$17)/$AC$19*$AC$13))</f>
        <v>4.3423955555555551</v>
      </c>
      <c r="AV28">
        <f>IF(AH28=1,NA(),IF(INDEX($B$6:$Y$23,($AC$3-1-5)*$AC$4+AJ28+1,0*$AC$5+AI28+1)="",NA(),5+(INDEX($B$6:$Y$23,($AC$3-1-5)*$AC$4+AJ28+1,0*$AC$5+AI28+1)-$AC$17)/$AC$19*$AC$13))</f>
        <v>5.4141911111111112</v>
      </c>
      <c r="AW28">
        <f>IF(AH28=1,NA(),IF(INDEX($B$6:$Y$23,($AC$3-1-5)*$AC$4+AJ28+1,1*$AC$5+AI28+1)="",NA(),5+(INDEX($B$6:$Y$23,($AC$3-1-5)*$AC$4+AJ28+1,1*$AC$5+AI28+1)-$AC$17)/$AC$19*$AC$13))</f>
        <v>5.3922333333333334</v>
      </c>
      <c r="AY28" t="str">
        <f>IF(AH28=1,"",IF(INDEX($B$6:$Y$23,($AC$3-1-0)*$AC$4+AJ28+1,0*$AC$5+AI28+1)="","",TEXT(INDEX($B$6:$Y$23,($AC$3-1-0)*$AC$4+AJ28+1,0*$AC$5+AI28+1),"#,##0")))</f>
        <v>523</v>
      </c>
      <c r="AZ28" t="str">
        <f>IF(AH28=1,"",IF(INDEX($B$6:$Y$23,($AC$3-1-0)*$AC$4+AJ28+1,1*$AC$5+AI28+1)="","",TEXT(INDEX($B$6:$Y$23,($AC$3-1-0)*$AC$4+AJ28+1,1*$AC$5+AI28+1),"#,##0")))</f>
        <v>507</v>
      </c>
      <c r="BA28" t="str">
        <f>IF(AH28=1,"",IF(INDEX($B$6:$Y$23,($AC$3-1-1)*$AC$4+AJ28+1,0*$AC$5+AI28+1)="","",TEXT(INDEX($B$6:$Y$23,($AC$3-1-1)*$AC$4+AJ28+1,0*$AC$5+AI28+1),"#,##0")))</f>
        <v>579</v>
      </c>
      <c r="BB28" t="str">
        <f>IF(AH28=1,"",IF(INDEX($B$6:$Y$23,($AC$3-1-1)*$AC$4+AJ28+1,1*$AC$5+AI28+1)="","",TEXT(INDEX($B$6:$Y$23,($AC$3-1-1)*$AC$4+AJ28+1,1*$AC$5+AI28+1),"#,##0")))</f>
        <v>562</v>
      </c>
      <c r="BC28" t="str">
        <f>IF(AH28=1,"",IF(INDEX($B$6:$Y$23,($AC$3-1-2)*$AC$4+AJ28+1,0*$AC$5+AI28+1)="","",TEXT(INDEX($B$6:$Y$23,($AC$3-1-2)*$AC$4+AJ28+1,0*$AC$5+AI28+1),"#,##0")))</f>
        <v>636</v>
      </c>
      <c r="BD28" t="str">
        <f>IF(AH28=1,"",IF(INDEX($B$6:$Y$23,($AC$3-1-2)*$AC$4+AJ28+1,1*$AC$5+AI28+1)="","",TEXT(INDEX($B$6:$Y$23,($AC$3-1-2)*$AC$4+AJ28+1,1*$AC$5+AI28+1),"#,##0")))</f>
        <v>616</v>
      </c>
      <c r="BE28" t="str">
        <f>IF(AH28=1,"",IF(INDEX($B$6:$Y$23,($AC$3-1-3)*$AC$4+AJ28+1,0*$AC$5+AI28+1)="","",TEXT(INDEX($B$6:$Y$23,($AC$3-1-3)*$AC$4+AJ28+1,0*$AC$5+AI28+1),"#,##0")))</f>
        <v>692</v>
      </c>
      <c r="BF28" t="str">
        <f>IF(AH28=1,"",IF(INDEX($B$6:$Y$23,($AC$3-1-3)*$AC$4+AJ28+1,1*$AC$5+AI28+1)="","",TEXT(INDEX($B$6:$Y$23,($AC$3-1-3)*$AC$4+AJ28+1,1*$AC$5+AI28+1),"#,##0")))</f>
        <v>671</v>
      </c>
      <c r="BG28" t="str">
        <f>IF(AH28=1,"",IF(INDEX($B$6:$Y$23,($AC$3-1-4)*$AC$4+AJ28+1,0*$AC$5+AI28+1)="","",TEXT(INDEX($B$6:$Y$23,($AC$3-1-4)*$AC$4+AJ28+1,0*$AC$5+AI28+1),"#,##0")))</f>
        <v>748</v>
      </c>
      <c r="BH28" t="str">
        <f>IF(AH28=1,"",IF(INDEX($B$6:$Y$23,($AC$3-1-4)*$AC$4+AJ28+1,1*$AC$5+AI28+1)="","",TEXT(INDEX($B$6:$Y$23,($AC$3-1-4)*$AC$4+AJ28+1,1*$AC$5+AI28+1),"#,##0")))</f>
        <v>726</v>
      </c>
      <c r="BI28" t="str">
        <f>IF(AH28=1,"",IF(INDEX($B$6:$Y$23,($AC$3-1-5)*$AC$4+AJ28+1,0*$AC$5+AI28+1)="","",TEXT(INDEX($B$6:$Y$23,($AC$3-1-5)*$AC$4+AJ28+1,0*$AC$5+AI28+1),"#,##0")))</f>
        <v>805</v>
      </c>
      <c r="BJ28" t="str">
        <f>IF(AH28=1,"",IF(INDEX($B$6:$Y$23,($AC$3-1-5)*$AC$4+AJ28+1,1*$AC$5+AI28+1)="","",TEXT(INDEX($B$6:$Y$23,($AC$3-1-5)*$AC$4+AJ28+1,1*$AC$5+AI28+1),"#,##0")))</f>
        <v>781</v>
      </c>
      <c r="BL28">
        <v>29</v>
      </c>
      <c r="BM28">
        <v>6</v>
      </c>
      <c r="BO28">
        <v>41.5</v>
      </c>
      <c r="BP28">
        <v>1.91</v>
      </c>
      <c r="BR28">
        <v>28.5</v>
      </c>
      <c r="BS28" t="e">
        <f>IF(OR($AC$17&gt;0,$AC$18&lt;0),NA(),0+$AC$20)</f>
        <v>#N/A</v>
      </c>
      <c r="BU28">
        <v>17</v>
      </c>
      <c r="BV28">
        <f>4+$AC$13+0.03</f>
        <v>4.8500000000000005</v>
      </c>
      <c r="BW28" t="str">
        <f>Dot!$A$10</f>
        <v>Business partner 05</v>
      </c>
      <c r="BY28">
        <v>3.35</v>
      </c>
      <c r="BZ28">
        <f>1+0.5*$AC$13</f>
        <v>1.41</v>
      </c>
      <c r="CA28" t="str">
        <f>TEXT($AC$17+($AC$18-$AC$17)*0.5,"#,##0")</f>
        <v>800</v>
      </c>
    </row>
    <row r="29" spans="1:84" x14ac:dyDescent="0.35">
      <c r="AB29">
        <v>6</v>
      </c>
      <c r="AC29">
        <f>AB29-$AC$12</f>
        <v>3</v>
      </c>
      <c r="AD29">
        <f>IF(AC29&lt;=0,-1,INT((AC29-1)/($AC$10+$AC$11)))</f>
        <v>0</v>
      </c>
      <c r="AE29">
        <f>IF(AC29&lt;=0,-1,MOD(AC29-1,($AC$10+$AC$11)))</f>
        <v>2</v>
      </c>
      <c r="AF29">
        <f>IF(OR(AE29&lt;0,AE29&gt;=$AC$10),-1,INT(AE29/$AC$9))</f>
        <v>2</v>
      </c>
      <c r="AG29">
        <f>IF(OR(AE29&lt;0,AE29&gt;=$AC$10),-1,MOD(AE29,$AC$9))</f>
        <v>0</v>
      </c>
      <c r="AH29">
        <f>IF(OR(AC29&lt;=0,AE29&lt;0,AE29&gt;=$AC$10,AD29&gt;=$AC$7),1,0)</f>
        <v>0</v>
      </c>
      <c r="AI29">
        <f>IF(AH29=1,-1,AF29)</f>
        <v>2</v>
      </c>
      <c r="AJ29">
        <f>IF(AH29=1,-1,AD29)</f>
        <v>0</v>
      </c>
      <c r="AK29" t="str">
        <f>IF(AH29=1,"",IF(AND(MOD(AI29,3)=0,AG29=INT(($AC$9-1)/2)),INDEX($B$5:$M$5,AI29+1),""))</f>
        <v/>
      </c>
      <c r="AL29">
        <f>IF(AH29=1,NA(),IF(INDEX($B$6:$Y$23,($AC$3-1-0)*$AC$4+AJ29+1,0*$AC$5+AI29+1)="",NA(),0+(INDEX($B$6:$Y$23,($AC$3-1-0)*$AC$4+AJ29+1,0*$AC$5+AI29+1)-$AC$17)/$AC$19*$AC$13))</f>
        <v>0.22367777777777778</v>
      </c>
      <c r="AM29">
        <f>IF(AH29=1,NA(),IF(INDEX($B$6:$Y$23,($AC$3-1-0)*$AC$4+AJ29+1,1*$AC$5+AI29+1)="",NA(),0+(INDEX($B$6:$Y$23,($AC$3-1-0)*$AC$4+AJ29+1,1*$AC$5+AI29+1)-$AC$17)/$AC$19*$AC$13))</f>
        <v>0.18167555555555553</v>
      </c>
      <c r="AN29">
        <f>IF(AH29=1,NA(),IF(INDEX($B$6:$Y$23,($AC$3-1-1)*$AC$4+AJ29+1,0*$AC$5+AI29+1)="",NA(),1+(INDEX($B$6:$Y$23,($AC$3-1-1)*$AC$4+AJ29+1,0*$AC$5+AI29+1)-$AC$17)/$AC$19*$AC$13))</f>
        <v>1.276248888888889</v>
      </c>
      <c r="AO29">
        <f>IF(AH29=1,NA(),IF(INDEX($B$6:$Y$23,($AC$3-1-1)*$AC$4+AJ29+1,1*$AC$5+AI29+1)="",NA(),1+(INDEX($B$6:$Y$23,($AC$3-1-1)*$AC$4+AJ29+1,1*$AC$5+AI29+1)-$AC$17)/$AC$19*$AC$13))</f>
        <v>1.2327888888888889</v>
      </c>
      <c r="AP29">
        <f>IF(AH29=1,NA(),IF(INDEX($B$6:$Y$23,($AC$3-1-2)*$AC$4+AJ29+1,0*$AC$5+AI29+1)="",NA(),2+(INDEX($B$6:$Y$23,($AC$3-1-2)*$AC$4+AJ29+1,0*$AC$5+AI29+1)-$AC$17)/$AC$19*$AC$13))</f>
        <v>2.3289111111111112</v>
      </c>
      <c r="AQ29">
        <f>IF(AH29=1,NA(),IF(INDEX($B$6:$Y$23,($AC$3-1-2)*$AC$4+AJ29+1,1*$AC$5+AI29+1)="",NA(),2+(INDEX($B$6:$Y$23,($AC$3-1-2)*$AC$4+AJ29+1,1*$AC$5+AI29+1)-$AC$17)/$AC$19*$AC$13))</f>
        <v>2.283811111111111</v>
      </c>
      <c r="AR29">
        <f>IF(AH29=1,NA(),IF(INDEX($B$6:$Y$23,($AC$3-1-3)*$AC$4+AJ29+1,0*$AC$5+AI29+1)="",NA(),3+(INDEX($B$6:$Y$23,($AC$3-1-3)*$AC$4+AJ29+1,0*$AC$5+AI29+1)-$AC$17)/$AC$19*$AC$13))</f>
        <v>3.3815733333333333</v>
      </c>
      <c r="AS29">
        <f>IF(AH29=1,NA(),IF(INDEX($B$6:$Y$23,($AC$3-1-3)*$AC$4+AJ29+1,1*$AC$5+AI29+1)="",NA(),3+(INDEX($B$6:$Y$23,($AC$3-1-3)*$AC$4+AJ29+1,1*$AC$5+AI29+1)-$AC$17)/$AC$19*$AC$13))</f>
        <v>3.3348333333333331</v>
      </c>
      <c r="AT29">
        <f>IF(AH29=1,NA(),IF(INDEX($B$6:$Y$23,($AC$3-1-4)*$AC$4+AJ29+1,0*$AC$5+AI29+1)="",NA(),4+(INDEX($B$6:$Y$23,($AC$3-1-4)*$AC$4+AJ29+1,0*$AC$5+AI29+1)-$AC$17)/$AC$19*$AC$13))</f>
        <v>4.4341444444444447</v>
      </c>
      <c r="AU29">
        <f>IF(AH29=1,NA(),IF(INDEX($B$6:$Y$23,($AC$3-1-4)*$AC$4+AJ29+1,1*$AC$5+AI29+1)="",NA(),4+(INDEX($B$6:$Y$23,($AC$3-1-4)*$AC$4+AJ29+1,1*$AC$5+AI29+1)-$AC$17)/$AC$19*$AC$13))</f>
        <v>4.3858555555555556</v>
      </c>
      <c r="AV29">
        <f>IF(AH29=1,NA(),IF(INDEX($B$6:$Y$23,($AC$3-1-5)*$AC$4+AJ29+1,0*$AC$5+AI29+1)="",NA(),5+(INDEX($B$6:$Y$23,($AC$3-1-5)*$AC$4+AJ29+1,0*$AC$5+AI29+1)-$AC$17)/$AC$19*$AC$13))</f>
        <v>5.4867155555555556</v>
      </c>
      <c r="AW29">
        <f>IF(AH29=1,NA(),IF(INDEX($B$6:$Y$23,($AC$3-1-5)*$AC$4+AJ29+1,1*$AC$5+AI29+1)="",NA(),5+(INDEX($B$6:$Y$23,($AC$3-1-5)*$AC$4+AJ29+1,1*$AC$5+AI29+1)-$AC$17)/$AC$19*$AC$13))</f>
        <v>5.4368777777777781</v>
      </c>
      <c r="AY29" t="str">
        <f>IF(AH29=1,"",IF(INDEX($B$6:$Y$23,($AC$3-1-0)*$AC$4+AJ29+1,0*$AC$5+AI29+1)="","",TEXT(INDEX($B$6:$Y$23,($AC$3-1-0)*$AC$4+AJ29+1,0*$AC$5+AI29+1),"#,##0")))</f>
        <v>596</v>
      </c>
      <c r="AZ29" t="str">
        <f>IF(AH29=1,"",IF(INDEX($B$6:$Y$23,($AC$3-1-0)*$AC$4+AJ29+1,1*$AC$5+AI29+1)="","",TEXT(INDEX($B$6:$Y$23,($AC$3-1-0)*$AC$4+AJ29+1,1*$AC$5+AI29+1),"#,##0")))</f>
        <v>549</v>
      </c>
      <c r="BA29" t="str">
        <f>IF(AH29=1,"",IF(INDEX($B$6:$Y$23,($AC$3-1-1)*$AC$4+AJ29+1,0*$AC$5+AI29+1)="","",TEXT(INDEX($B$6:$Y$23,($AC$3-1-1)*$AC$4+AJ29+1,0*$AC$5+AI29+1),"#,##0")))</f>
        <v>653</v>
      </c>
      <c r="BB29" t="str">
        <f>IF(AH29=1,"",IF(INDEX($B$6:$Y$23,($AC$3-1-1)*$AC$4+AJ29+1,1*$AC$5+AI29+1)="","",TEXT(INDEX($B$6:$Y$23,($AC$3-1-1)*$AC$4+AJ29+1,1*$AC$5+AI29+1),"#,##0")))</f>
        <v>606</v>
      </c>
      <c r="BC29" t="str">
        <f>IF(AH29=1,"",IF(INDEX($B$6:$Y$23,($AC$3-1-2)*$AC$4+AJ29+1,0*$AC$5+AI29+1)="","",TEXT(INDEX($B$6:$Y$23,($AC$3-1-2)*$AC$4+AJ29+1,0*$AC$5+AI29+1),"#,##0")))</f>
        <v>711</v>
      </c>
      <c r="BD29" t="str">
        <f>IF(AH29=1,"",IF(INDEX($B$6:$Y$23,($AC$3-1-2)*$AC$4+AJ29+1,1*$AC$5+AI29+1)="","",TEXT(INDEX($B$6:$Y$23,($AC$3-1-2)*$AC$4+AJ29+1,1*$AC$5+AI29+1),"#,##0")))</f>
        <v>662</v>
      </c>
      <c r="BE29" t="str">
        <f>IF(AH29=1,"",IF(INDEX($B$6:$Y$23,($AC$3-1-3)*$AC$4+AJ29+1,0*$AC$5+AI29+1)="","",TEXT(INDEX($B$6:$Y$23,($AC$3-1-3)*$AC$4+AJ29+1,0*$AC$5+AI29+1),"#,##0")))</f>
        <v>769</v>
      </c>
      <c r="BF29" t="str">
        <f>IF(AH29=1,"",IF(INDEX($B$6:$Y$23,($AC$3-1-3)*$AC$4+AJ29+1,1*$AC$5+AI29+1)="","",TEXT(INDEX($B$6:$Y$23,($AC$3-1-3)*$AC$4+AJ29+1,1*$AC$5+AI29+1),"#,##0")))</f>
        <v>718</v>
      </c>
      <c r="BG29" t="str">
        <f>IF(AH29=1,"",IF(INDEX($B$6:$Y$23,($AC$3-1-4)*$AC$4+AJ29+1,0*$AC$5+AI29+1)="","",TEXT(INDEX($B$6:$Y$23,($AC$3-1-4)*$AC$4+AJ29+1,0*$AC$5+AI29+1),"#,##0")))</f>
        <v>827</v>
      </c>
      <c r="BH29" t="str">
        <f>IF(AH29=1,"",IF(INDEX($B$6:$Y$23,($AC$3-1-4)*$AC$4+AJ29+1,1*$AC$5+AI29+1)="","",TEXT(INDEX($B$6:$Y$23,($AC$3-1-4)*$AC$4+AJ29+1,1*$AC$5+AI29+1),"#,##0")))</f>
        <v>774</v>
      </c>
      <c r="BI29" t="str">
        <f>IF(AH29=1,"",IF(INDEX($B$6:$Y$23,($AC$3-1-5)*$AC$4+AJ29+1,0*$AC$5+AI29+1)="","",TEXT(INDEX($B$6:$Y$23,($AC$3-1-5)*$AC$4+AJ29+1,0*$AC$5+AI29+1),"#,##0")))</f>
        <v>884</v>
      </c>
      <c r="BJ29" t="str">
        <f>IF(AH29=1,"",IF(INDEX($B$6:$Y$23,($AC$3-1-5)*$AC$4+AJ29+1,1*$AC$5+AI29+1)="","",TEXT(INDEX($B$6:$Y$23,($AC$3-1-5)*$AC$4+AJ29+1,1*$AC$5+AI29+1),"#,##0")))</f>
        <v>830</v>
      </c>
      <c r="BL29">
        <v>29</v>
      </c>
      <c r="BM29" t="e">
        <f>NA()</f>
        <v>#N/A</v>
      </c>
      <c r="BO29">
        <v>41.5</v>
      </c>
      <c r="BP29" t="e">
        <f>NA()</f>
        <v>#N/A</v>
      </c>
      <c r="BR29">
        <v>28.5</v>
      </c>
      <c r="BS29" t="e">
        <f>NA()</f>
        <v>#N/A</v>
      </c>
      <c r="BU29">
        <v>30</v>
      </c>
      <c r="BV29">
        <f>4+$AC$13+0.03</f>
        <v>4.8500000000000005</v>
      </c>
      <c r="BW29" t="str">
        <f>Dot!$A$11</f>
        <v>Business partner 06</v>
      </c>
      <c r="BY29">
        <v>3.35</v>
      </c>
      <c r="BZ29">
        <f>1+1*$AC$13</f>
        <v>1.8199999999999998</v>
      </c>
      <c r="CA29" t="str">
        <f>TEXT($AC$17+($AC$18-$AC$17)*1,"#,##0")</f>
        <v>1,250</v>
      </c>
    </row>
    <row r="30" spans="1:84" x14ac:dyDescent="0.35">
      <c r="AB30">
        <v>7</v>
      </c>
      <c r="AC30">
        <f>AB30-$AC$12</f>
        <v>4</v>
      </c>
      <c r="AD30">
        <f>IF(AC30&lt;=0,-1,INT((AC30-1)/($AC$10+$AC$11)))</f>
        <v>0</v>
      </c>
      <c r="AE30">
        <f>IF(AC30&lt;=0,-1,MOD(AC30-1,($AC$10+$AC$11)))</f>
        <v>3</v>
      </c>
      <c r="AF30">
        <f>IF(OR(AE30&lt;0,AE30&gt;=$AC$10),-1,INT(AE30/$AC$9))</f>
        <v>3</v>
      </c>
      <c r="AG30">
        <f>IF(OR(AE30&lt;0,AE30&gt;=$AC$10),-1,MOD(AE30,$AC$9))</f>
        <v>0</v>
      </c>
      <c r="AH30">
        <f>IF(OR(AC30&lt;=0,AE30&lt;0,AE30&gt;=$AC$10,AD30&gt;=$AC$7),1,0)</f>
        <v>0</v>
      </c>
      <c r="AI30">
        <f>IF(AH30=1,-1,AF30)</f>
        <v>3</v>
      </c>
      <c r="AJ30">
        <f>IF(AH30=1,-1,AD30)</f>
        <v>0</v>
      </c>
      <c r="AK30" t="str">
        <f>IF(AH30=1,"",IF(AND(MOD(AI30,3)=0,AG30=INT(($AC$9-1)/2)),INDEX($B$5:$M$5,AI30+1),""))</f>
        <v>Apr</v>
      </c>
      <c r="AL30">
        <f>IF(AH30=1,NA(),IF(INDEX($B$6:$Y$23,($AC$3-1-0)*$AC$4+AJ30+1,0*$AC$5+AI30+1)="",NA(),0+(INDEX($B$6:$Y$23,($AC$3-1-0)*$AC$4+AJ30+1,0*$AC$5+AI30+1)-$AC$17)/$AC$19*$AC$13))</f>
        <v>0.12591555555555556</v>
      </c>
      <c r="AM30">
        <f>IF(AH30=1,NA(),IF(INDEX($B$6:$Y$23,($AC$3-1-0)*$AC$4+AJ30+1,1*$AC$5+AI30+1)="",NA(),0+(INDEX($B$6:$Y$23,($AC$3-1-0)*$AC$4+AJ30+1,1*$AC$5+AI30+1)-$AC$17)/$AC$19*$AC$13))</f>
        <v>0.13830666666666669</v>
      </c>
      <c r="AN30">
        <f>IF(AH30=1,NA(),IF(INDEX($B$6:$Y$23,($AC$3-1-1)*$AC$4+AJ30+1,0*$AC$5+AI30+1)="",NA(),1+(INDEX($B$6:$Y$23,($AC$3-1-1)*$AC$4+AJ30+1,0*$AC$5+AI30+1)-$AC$17)/$AC$19*$AC$13))</f>
        <v>1.1798533333333332</v>
      </c>
      <c r="AO30">
        <f>IF(AH30=1,NA(),IF(INDEX($B$6:$Y$23,($AC$3-1-1)*$AC$4+AJ30+1,1*$AC$5+AI30+1)="",NA(),1+(INDEX($B$6:$Y$23,($AC$3-1-1)*$AC$4+AJ30+1,1*$AC$5+AI30+1)-$AC$17)/$AC$19*$AC$13))</f>
        <v>1.1906044444444444</v>
      </c>
      <c r="AP30">
        <f>IF(AH30=1,NA(),IF(INDEX($B$6:$Y$23,($AC$3-1-2)*$AC$4+AJ30+1,0*$AC$5+AI30+1)="",NA(),2+(INDEX($B$6:$Y$23,($AC$3-1-2)*$AC$4+AJ30+1,0*$AC$5+AI30+1)-$AC$17)/$AC$19*$AC$13))</f>
        <v>2.2336999999999998</v>
      </c>
      <c r="AQ30">
        <f>IF(AH30=1,NA(),IF(INDEX($B$6:$Y$23,($AC$3-1-2)*$AC$4+AJ30+1,1*$AC$5+AI30+1)="",NA(),2+(INDEX($B$6:$Y$23,($AC$3-1-2)*$AC$4+AJ30+1,1*$AC$5+AI30+1)-$AC$17)/$AC$19*$AC$13))</f>
        <v>2.2428111111111111</v>
      </c>
      <c r="AR30">
        <f>IF(AH30=1,NA(),IF(INDEX($B$6:$Y$23,($AC$3-1-3)*$AC$4+AJ30+1,0*$AC$5+AI30+1)="",NA(),3+(INDEX($B$6:$Y$23,($AC$3-1-3)*$AC$4+AJ30+1,0*$AC$5+AI30+1)-$AC$17)/$AC$19*$AC$13))</f>
        <v>3.2875466666666666</v>
      </c>
      <c r="AS30">
        <f>IF(AH30=1,NA(),IF(INDEX($B$6:$Y$23,($AC$3-1-3)*$AC$4+AJ30+1,1*$AC$5+AI30+1)="",NA(),3+(INDEX($B$6:$Y$23,($AC$3-1-3)*$AC$4+AJ30+1,1*$AC$5+AI30+1)-$AC$17)/$AC$19*$AC$13))</f>
        <v>3.2951088888888886</v>
      </c>
      <c r="AT30">
        <f>IF(AH30=1,NA(),IF(INDEX($B$6:$Y$23,($AC$3-1-4)*$AC$4+AJ30+1,0*$AC$5+AI30+1)="",NA(),4+(INDEX($B$6:$Y$23,($AC$3-1-4)*$AC$4+AJ30+1,0*$AC$5+AI30+1)-$AC$17)/$AC$19*$AC$13))</f>
        <v>4.3414844444444443</v>
      </c>
      <c r="AU30">
        <f>IF(AH30=1,NA(),IF(INDEX($B$6:$Y$23,($AC$3-1-4)*$AC$4+AJ30+1,1*$AC$5+AI30+1)="",NA(),4+(INDEX($B$6:$Y$23,($AC$3-1-4)*$AC$4+AJ30+1,1*$AC$5+AI30+1)-$AC$17)/$AC$19*$AC$13))</f>
        <v>4.3473155555555554</v>
      </c>
      <c r="AV30">
        <f>IF(AH30=1,NA(),IF(INDEX($B$6:$Y$23,($AC$3-1-5)*$AC$4+AJ30+1,0*$AC$5+AI30+1)="",NA(),5+(INDEX($B$6:$Y$23,($AC$3-1-5)*$AC$4+AJ30+1,0*$AC$5+AI30+1)-$AC$17)/$AC$19*$AC$13))</f>
        <v>5.3953311111111111</v>
      </c>
      <c r="AW30">
        <f>IF(AH30=1,NA(),IF(INDEX($B$6:$Y$23,($AC$3-1-5)*$AC$4+AJ30+1,1*$AC$5+AI30+1)="",NA(),5+(INDEX($B$6:$Y$23,($AC$3-1-5)*$AC$4+AJ30+1,1*$AC$5+AI30+1)-$AC$17)/$AC$19*$AC$13))</f>
        <v>5.3996133333333329</v>
      </c>
      <c r="AY30" t="str">
        <f>IF(AH30=1,"",IF(INDEX($B$6:$Y$23,($AC$3-1-0)*$AC$4+AJ30+1,0*$AC$5+AI30+1)="","",TEXT(INDEX($B$6:$Y$23,($AC$3-1-0)*$AC$4+AJ30+1,0*$AC$5+AI30+1),"#,##0")))</f>
        <v>488</v>
      </c>
      <c r="AZ30" t="str">
        <f>IF(AH30=1,"",IF(INDEX($B$6:$Y$23,($AC$3-1-0)*$AC$4+AJ30+1,1*$AC$5+AI30+1)="","",TEXT(INDEX($B$6:$Y$23,($AC$3-1-0)*$AC$4+AJ30+1,1*$AC$5+AI30+1),"#,##0")))</f>
        <v>502</v>
      </c>
      <c r="BA30" t="str">
        <f>IF(AH30=1,"",IF(INDEX($B$6:$Y$23,($AC$3-1-1)*$AC$4+AJ30+1,0*$AC$5+AI30+1)="","",TEXT(INDEX($B$6:$Y$23,($AC$3-1-1)*$AC$4+AJ30+1,0*$AC$5+AI30+1),"#,##0")))</f>
        <v>547</v>
      </c>
      <c r="BB30" t="str">
        <f>IF(AH30=1,"",IF(INDEX($B$6:$Y$23,($AC$3-1-1)*$AC$4+AJ30+1,1*$AC$5+AI30+1)="","",TEXT(INDEX($B$6:$Y$23,($AC$3-1-1)*$AC$4+AJ30+1,1*$AC$5+AI30+1),"#,##0")))</f>
        <v>559</v>
      </c>
      <c r="BC30" t="str">
        <f>IF(AH30=1,"",IF(INDEX($B$6:$Y$23,($AC$3-1-2)*$AC$4+AJ30+1,0*$AC$5+AI30+1)="","",TEXT(INDEX($B$6:$Y$23,($AC$3-1-2)*$AC$4+AJ30+1,0*$AC$5+AI30+1),"#,##0")))</f>
        <v>607</v>
      </c>
      <c r="BD30" t="str">
        <f>IF(AH30=1,"",IF(INDEX($B$6:$Y$23,($AC$3-1-2)*$AC$4+AJ30+1,1*$AC$5+AI30+1)="","",TEXT(INDEX($B$6:$Y$23,($AC$3-1-2)*$AC$4+AJ30+1,1*$AC$5+AI30+1),"#,##0")))</f>
        <v>617</v>
      </c>
      <c r="BE30" t="str">
        <f>IF(AH30=1,"",IF(INDEX($B$6:$Y$23,($AC$3-1-3)*$AC$4+AJ30+1,0*$AC$5+AI30+1)="","",TEXT(INDEX($B$6:$Y$23,($AC$3-1-3)*$AC$4+AJ30+1,0*$AC$5+AI30+1),"#,##0")))</f>
        <v>666</v>
      </c>
      <c r="BF30" t="str">
        <f>IF(AH30=1,"",IF(INDEX($B$6:$Y$23,($AC$3-1-3)*$AC$4+AJ30+1,1*$AC$5+AI30+1)="","",TEXT(INDEX($B$6:$Y$23,($AC$3-1-3)*$AC$4+AJ30+1,1*$AC$5+AI30+1),"#,##0")))</f>
        <v>674</v>
      </c>
      <c r="BG30" t="str">
        <f>IF(AH30=1,"",IF(INDEX($B$6:$Y$23,($AC$3-1-4)*$AC$4+AJ30+1,0*$AC$5+AI30+1)="","",TEXT(INDEX($B$6:$Y$23,($AC$3-1-4)*$AC$4+AJ30+1,0*$AC$5+AI30+1),"#,##0")))</f>
        <v>725</v>
      </c>
      <c r="BH30" t="str">
        <f>IF(AH30=1,"",IF(INDEX($B$6:$Y$23,($AC$3-1-4)*$AC$4+AJ30+1,1*$AC$5+AI30+1)="","",TEXT(INDEX($B$6:$Y$23,($AC$3-1-4)*$AC$4+AJ30+1,1*$AC$5+AI30+1),"#,##0")))</f>
        <v>731</v>
      </c>
      <c r="BI30" t="str">
        <f>IF(AH30=1,"",IF(INDEX($B$6:$Y$23,($AC$3-1-5)*$AC$4+AJ30+1,0*$AC$5+AI30+1)="","",TEXT(INDEX($B$6:$Y$23,($AC$3-1-5)*$AC$4+AJ30+1,0*$AC$5+AI30+1),"#,##0")))</f>
        <v>784</v>
      </c>
      <c r="BJ30" t="str">
        <f>IF(AH30=1,"",IF(INDEX($B$6:$Y$23,($AC$3-1-5)*$AC$4+AJ30+1,1*$AC$5+AI30+1)="","",TEXT(INDEX($B$6:$Y$23,($AC$3-1-5)*$AC$4+AJ30+1,1*$AC$5+AI30+1),"#,##0")))</f>
        <v>789</v>
      </c>
      <c r="BO30">
        <v>0.5</v>
      </c>
      <c r="BP30">
        <v>2.91</v>
      </c>
      <c r="BR30">
        <v>29.5</v>
      </c>
      <c r="BS30" t="e">
        <f>IF(OR($AC$17&gt;0,$AC$18&lt;0),NA(),0+$AC$20)</f>
        <v>#N/A</v>
      </c>
      <c r="BU30">
        <v>4</v>
      </c>
      <c r="BV30">
        <f>3+$AC$13+0.03</f>
        <v>3.8499999999999996</v>
      </c>
      <c r="BW30" t="str">
        <f>Dot!$A$12</f>
        <v>Business partner 07</v>
      </c>
      <c r="BY30">
        <v>3.35</v>
      </c>
      <c r="BZ30">
        <f>2+0*$AC$13</f>
        <v>2</v>
      </c>
      <c r="CA30" t="str">
        <f>TEXT($AC$17+($AC$18-$AC$17)*0,"#,##0")</f>
        <v>350</v>
      </c>
    </row>
    <row r="31" spans="1:84" x14ac:dyDescent="0.35">
      <c r="AB31">
        <v>8</v>
      </c>
      <c r="AC31">
        <f>AB31-$AC$12</f>
        <v>5</v>
      </c>
      <c r="AD31">
        <f>IF(AC31&lt;=0,-1,INT((AC31-1)/($AC$10+$AC$11)))</f>
        <v>0</v>
      </c>
      <c r="AE31">
        <f>IF(AC31&lt;=0,-1,MOD(AC31-1,($AC$10+$AC$11)))</f>
        <v>4</v>
      </c>
      <c r="AF31">
        <f>IF(OR(AE31&lt;0,AE31&gt;=$AC$10),-1,INT(AE31/$AC$9))</f>
        <v>4</v>
      </c>
      <c r="AG31">
        <f>IF(OR(AE31&lt;0,AE31&gt;=$AC$10),-1,MOD(AE31,$AC$9))</f>
        <v>0</v>
      </c>
      <c r="AH31">
        <f>IF(OR(AC31&lt;=0,AE31&lt;0,AE31&gt;=$AC$10,AD31&gt;=$AC$7),1,0)</f>
        <v>0</v>
      </c>
      <c r="AI31">
        <f>IF(AH31=1,-1,AF31)</f>
        <v>4</v>
      </c>
      <c r="AJ31">
        <f>IF(AH31=1,-1,AD31)</f>
        <v>0</v>
      </c>
      <c r="AK31" t="str">
        <f>IF(AH31=1,"",IF(AND(MOD(AI31,3)=0,AG31=INT(($AC$9-1)/2)),INDEX($B$5:$M$5,AI31+1),""))</f>
        <v/>
      </c>
      <c r="AL31">
        <f>IF(AH31=1,NA(),IF(INDEX($B$6:$Y$23,($AC$3-1-0)*$AC$4+AJ31+1,0*$AC$5+AI31+1)="",NA(),0+(INDEX($B$6:$Y$23,($AC$3-1-0)*$AC$4+AJ31+1,0*$AC$5+AI31+1)-$AC$17)/$AC$19*$AC$13))</f>
        <v>0.19224444444444444</v>
      </c>
      <c r="AM31">
        <f>IF(AH31=1,NA(),IF(INDEX($B$6:$Y$23,($AC$3-1-0)*$AC$4+AJ31+1,1*$AC$5+AI31+1)="",NA(),0+(INDEX($B$6:$Y$23,($AC$3-1-0)*$AC$4+AJ31+1,1*$AC$5+AI31+1)-$AC$17)/$AC$19*$AC$13))</f>
        <v>0.1769377777777778</v>
      </c>
      <c r="AN31">
        <f>IF(AH31=1,NA(),IF(INDEX($B$6:$Y$23,($AC$3-1-1)*$AC$4+AJ31+1,0*$AC$5+AI31+1)="",NA(),1+(INDEX($B$6:$Y$23,($AC$3-1-1)*$AC$4+AJ31+1,0*$AC$5+AI31+1)-$AC$17)/$AC$19*$AC$13))</f>
        <v>1.2473666666666667</v>
      </c>
      <c r="AO31">
        <f>IF(AH31=1,NA(),IF(INDEX($B$6:$Y$23,($AC$3-1-1)*$AC$4+AJ31+1,1*$AC$5+AI31+1)="",NA(),1+(INDEX($B$6:$Y$23,($AC$3-1-1)*$AC$4+AJ31+1,1*$AC$5+AI31+1)-$AC$17)/$AC$19*$AC$13))</f>
        <v>1.2304200000000001</v>
      </c>
      <c r="AP31">
        <f>IF(AH31=1,NA(),IF(INDEX($B$6:$Y$23,($AC$3-1-2)*$AC$4+AJ31+1,0*$AC$5+AI31+1)="",NA(),2+(INDEX($B$6:$Y$23,($AC$3-1-2)*$AC$4+AJ31+1,0*$AC$5+AI31+1)-$AC$17)/$AC$19*$AC$13))</f>
        <v>2.302488888888889</v>
      </c>
      <c r="AQ31">
        <f>IF(AH31=1,NA(),IF(INDEX($B$6:$Y$23,($AC$3-1-2)*$AC$4+AJ31+1,1*$AC$5+AI31+1)="",NA(),2+(INDEX($B$6:$Y$23,($AC$3-1-2)*$AC$4+AJ31+1,1*$AC$5+AI31+1)-$AC$17)/$AC$19*$AC$13))</f>
        <v>2.283811111111111</v>
      </c>
      <c r="AR31">
        <f>IF(AH31=1,NA(),IF(INDEX($B$6:$Y$23,($AC$3-1-3)*$AC$4+AJ31+1,0*$AC$5+AI31+1)="",NA(),3+(INDEX($B$6:$Y$23,($AC$3-1-3)*$AC$4+AJ31+1,0*$AC$5+AI31+1)-$AC$17)/$AC$19*$AC$13))</f>
        <v>3.3576111111111109</v>
      </c>
      <c r="AS31">
        <f>IF(AH31=1,NA(),IF(INDEX($B$6:$Y$23,($AC$3-1-3)*$AC$4+AJ31+1,1*$AC$5+AI31+1)="",NA(),3+(INDEX($B$6:$Y$23,($AC$3-1-3)*$AC$4+AJ31+1,1*$AC$5+AI31+1)-$AC$17)/$AC$19*$AC$13))</f>
        <v>3.3372933333333332</v>
      </c>
      <c r="AT31">
        <f>IF(AH31=1,NA(),IF(INDEX($B$6:$Y$23,($AC$3-1-4)*$AC$4+AJ31+1,0*$AC$5+AI31+1)="",NA(),4+(INDEX($B$6:$Y$23,($AC$3-1-4)*$AC$4+AJ31+1,0*$AC$5+AI31+1)-$AC$17)/$AC$19*$AC$13))</f>
        <v>4.4127333333333336</v>
      </c>
      <c r="AU31">
        <f>IF(AH31=1,NA(),IF(INDEX($B$6:$Y$23,($AC$3-1-4)*$AC$4+AJ31+1,1*$AC$5+AI31+1)="",NA(),4+(INDEX($B$6:$Y$23,($AC$3-1-4)*$AC$4+AJ31+1,1*$AC$5+AI31+1)-$AC$17)/$AC$19*$AC$13))</f>
        <v>4.3907755555555559</v>
      </c>
      <c r="AV31">
        <f>IF(AH31=1,NA(),IF(INDEX($B$6:$Y$23,($AC$3-1-5)*$AC$4+AJ31+1,0*$AC$5+AI31+1)="",NA(),5+(INDEX($B$6:$Y$23,($AC$3-1-5)*$AC$4+AJ31+1,0*$AC$5+AI31+1)-$AC$17)/$AC$19*$AC$13))</f>
        <v>5.4678555555555555</v>
      </c>
      <c r="AW31">
        <f>IF(AH31=1,NA(),IF(INDEX($B$6:$Y$23,($AC$3-1-5)*$AC$4+AJ31+1,1*$AC$5+AI31+1)="",NA(),5+(INDEX($B$6:$Y$23,($AC$3-1-5)*$AC$4+AJ31+1,1*$AC$5+AI31+1)-$AC$17)/$AC$19*$AC$13))</f>
        <v>5.4442577777777776</v>
      </c>
      <c r="AY31" t="str">
        <f>IF(AH31=1,"",IF(INDEX($B$6:$Y$23,($AC$3-1-0)*$AC$4+AJ31+1,0*$AC$5+AI31+1)="","",TEXT(INDEX($B$6:$Y$23,($AC$3-1-0)*$AC$4+AJ31+1,0*$AC$5+AI31+1),"#,##0")))</f>
        <v>561</v>
      </c>
      <c r="AZ31" t="str">
        <f>IF(AH31=1,"",IF(INDEX($B$6:$Y$23,($AC$3-1-0)*$AC$4+AJ31+1,1*$AC$5+AI31+1)="","",TEXT(INDEX($B$6:$Y$23,($AC$3-1-0)*$AC$4+AJ31+1,1*$AC$5+AI31+1),"#,##0")))</f>
        <v>544</v>
      </c>
      <c r="BA31" t="str">
        <f>IF(AH31=1,"",IF(INDEX($B$6:$Y$23,($AC$3-1-1)*$AC$4+AJ31+1,0*$AC$5+AI31+1)="","",TEXT(INDEX($B$6:$Y$23,($AC$3-1-1)*$AC$4+AJ31+1,0*$AC$5+AI31+1),"#,##0")))</f>
        <v>622</v>
      </c>
      <c r="BB31" t="str">
        <f>IF(AH31=1,"",IF(INDEX($B$6:$Y$23,($AC$3-1-1)*$AC$4+AJ31+1,1*$AC$5+AI31+1)="","",TEXT(INDEX($B$6:$Y$23,($AC$3-1-1)*$AC$4+AJ31+1,1*$AC$5+AI31+1),"#,##0")))</f>
        <v>603</v>
      </c>
      <c r="BC31" t="str">
        <f>IF(AH31=1,"",IF(INDEX($B$6:$Y$23,($AC$3-1-2)*$AC$4+AJ31+1,0*$AC$5+AI31+1)="","",TEXT(INDEX($B$6:$Y$23,($AC$3-1-2)*$AC$4+AJ31+1,0*$AC$5+AI31+1),"#,##0")))</f>
        <v>682</v>
      </c>
      <c r="BD31" t="str">
        <f>IF(AH31=1,"",IF(INDEX($B$6:$Y$23,($AC$3-1-2)*$AC$4+AJ31+1,1*$AC$5+AI31+1)="","",TEXT(INDEX($B$6:$Y$23,($AC$3-1-2)*$AC$4+AJ31+1,1*$AC$5+AI31+1),"#,##0")))</f>
        <v>662</v>
      </c>
      <c r="BE31" t="str">
        <f>IF(AH31=1,"",IF(INDEX($B$6:$Y$23,($AC$3-1-3)*$AC$4+AJ31+1,0*$AC$5+AI31+1)="","",TEXT(INDEX($B$6:$Y$23,($AC$3-1-3)*$AC$4+AJ31+1,0*$AC$5+AI31+1),"#,##0")))</f>
        <v>743</v>
      </c>
      <c r="BF31" t="str">
        <f>IF(AH31=1,"",IF(INDEX($B$6:$Y$23,($AC$3-1-3)*$AC$4+AJ31+1,1*$AC$5+AI31+1)="","",TEXT(INDEX($B$6:$Y$23,($AC$3-1-3)*$AC$4+AJ31+1,1*$AC$5+AI31+1),"#,##0")))</f>
        <v>720</v>
      </c>
      <c r="BG31" t="str">
        <f>IF(AH31=1,"",IF(INDEX($B$6:$Y$23,($AC$3-1-4)*$AC$4+AJ31+1,0*$AC$5+AI31+1)="","",TEXT(INDEX($B$6:$Y$23,($AC$3-1-4)*$AC$4+AJ31+1,0*$AC$5+AI31+1),"#,##0")))</f>
        <v>803</v>
      </c>
      <c r="BH31" t="str">
        <f>IF(AH31=1,"",IF(INDEX($B$6:$Y$23,($AC$3-1-4)*$AC$4+AJ31+1,1*$AC$5+AI31+1)="","",TEXT(INDEX($B$6:$Y$23,($AC$3-1-4)*$AC$4+AJ31+1,1*$AC$5+AI31+1),"#,##0")))</f>
        <v>779</v>
      </c>
      <c r="BI31" t="str">
        <f>IF(AH31=1,"",IF(INDEX($B$6:$Y$23,($AC$3-1-5)*$AC$4+AJ31+1,0*$AC$5+AI31+1)="","",TEXT(INDEX($B$6:$Y$23,($AC$3-1-5)*$AC$4+AJ31+1,0*$AC$5+AI31+1),"#,##0")))</f>
        <v>864</v>
      </c>
      <c r="BJ31" t="str">
        <f>IF(AH31=1,"",IF(INDEX($B$6:$Y$23,($AC$3-1-5)*$AC$4+AJ31+1,1*$AC$5+AI31+1)="","",TEXT(INDEX($B$6:$Y$23,($AC$3-1-5)*$AC$4+AJ31+1,1*$AC$5+AI31+1),"#,##0")))</f>
        <v>838</v>
      </c>
      <c r="BO31">
        <v>41.5</v>
      </c>
      <c r="BP31">
        <v>2.91</v>
      </c>
      <c r="BR31">
        <v>41.5</v>
      </c>
      <c r="BS31" t="e">
        <f>IF(OR($AC$17&gt;0,$AC$18&lt;0),NA(),0+$AC$20)</f>
        <v>#N/A</v>
      </c>
      <c r="BU31">
        <v>17</v>
      </c>
      <c r="BV31">
        <f>3+$AC$13+0.03</f>
        <v>3.8499999999999996</v>
      </c>
      <c r="BW31" t="str">
        <f>Dot!$A$13</f>
        <v>Business partner 08</v>
      </c>
      <c r="BY31">
        <v>3.35</v>
      </c>
      <c r="BZ31">
        <f>2+0.5*$AC$13</f>
        <v>2.41</v>
      </c>
      <c r="CA31" t="str">
        <f>TEXT($AC$17+($AC$18-$AC$17)*0.5,"#,##0")</f>
        <v>800</v>
      </c>
    </row>
    <row r="32" spans="1:84" x14ac:dyDescent="0.35">
      <c r="AB32">
        <v>9</v>
      </c>
      <c r="AC32">
        <f>AB32-$AC$12</f>
        <v>6</v>
      </c>
      <c r="AD32">
        <f>IF(AC32&lt;=0,-1,INT((AC32-1)/($AC$10+$AC$11)))</f>
        <v>0</v>
      </c>
      <c r="AE32">
        <f>IF(AC32&lt;=0,-1,MOD(AC32-1,($AC$10+$AC$11)))</f>
        <v>5</v>
      </c>
      <c r="AF32">
        <f>IF(OR(AE32&lt;0,AE32&gt;=$AC$10),-1,INT(AE32/$AC$9))</f>
        <v>5</v>
      </c>
      <c r="AG32">
        <f>IF(OR(AE32&lt;0,AE32&gt;=$AC$10),-1,MOD(AE32,$AC$9))</f>
        <v>0</v>
      </c>
      <c r="AH32">
        <f>IF(OR(AC32&lt;=0,AE32&lt;0,AE32&gt;=$AC$10,AD32&gt;=$AC$7),1,0)</f>
        <v>0</v>
      </c>
      <c r="AI32">
        <f>IF(AH32=1,-1,AF32)</f>
        <v>5</v>
      </c>
      <c r="AJ32">
        <f>IF(AH32=1,-1,AD32)</f>
        <v>0</v>
      </c>
      <c r="AK32" t="str">
        <f>IF(AH32=1,"",IF(AND(MOD(AI32,3)=0,AG32=INT(($AC$9-1)/2)),INDEX($B$5:$M$5,AI32+1),""))</f>
        <v/>
      </c>
      <c r="AL32">
        <f>IF(AH32=1,NA(),IF(INDEX($B$6:$Y$23,($AC$3-1-0)*$AC$4+AJ32+1,0*$AC$5+AI32+1)="",NA(),0+(INDEX($B$6:$Y$23,($AC$3-1-0)*$AC$4+AJ32+1,0*$AC$5+AI32+1)-$AC$17)/$AC$19*$AC$13))</f>
        <v>0.25857333333333327</v>
      </c>
      <c r="AM32">
        <f>IF(AH32=1,NA(),IF(INDEX($B$6:$Y$23,($AC$3-1-0)*$AC$4+AJ32+1,1*$AC$5+AI32+1)="",NA(),0+(INDEX($B$6:$Y$23,($AC$3-1-0)*$AC$4+AJ32+1,1*$AC$5+AI32+1)-$AC$17)/$AC$19*$AC$13))</f>
        <v>0.21547777777777777</v>
      </c>
      <c r="AN32">
        <f>IF(AH32=1,NA(),IF(INDEX($B$6:$Y$23,($AC$3-1-1)*$AC$4+AJ32+1,0*$AC$5+AI32+1)="",NA(),1+(INDEX($B$6:$Y$23,($AC$3-1-1)*$AC$4+AJ32+1,0*$AC$5+AI32+1)-$AC$17)/$AC$19*$AC$13))</f>
        <v>1.31488</v>
      </c>
      <c r="AO32">
        <f>IF(AH32=1,NA(),IF(INDEX($B$6:$Y$23,($AC$3-1-1)*$AC$4+AJ32+1,1*$AC$5+AI32+1)="",NA(),1+(INDEX($B$6:$Y$23,($AC$3-1-1)*$AC$4+AJ32+1,1*$AC$5+AI32+1)-$AC$17)/$AC$19*$AC$13))</f>
        <v>1.2702355555555556</v>
      </c>
      <c r="AP32">
        <f>IF(AH32=1,NA(),IF(INDEX($B$6:$Y$23,($AC$3-1-2)*$AC$4+AJ32+1,0*$AC$5+AI32+1)="",NA(),2+(INDEX($B$6:$Y$23,($AC$3-1-2)*$AC$4+AJ32+1,0*$AC$5+AI32+1)-$AC$17)/$AC$19*$AC$13))</f>
        <v>2.3712777777777778</v>
      </c>
      <c r="AQ32">
        <f>IF(AH32=1,NA(),IF(INDEX($B$6:$Y$23,($AC$3-1-2)*$AC$4+AJ32+1,1*$AC$5+AI32+1)="",NA(),2+(INDEX($B$6:$Y$23,($AC$3-1-2)*$AC$4+AJ32+1,1*$AC$5+AI32+1)-$AC$17)/$AC$19*$AC$13))</f>
        <v>2.3249022222222222</v>
      </c>
      <c r="AR32">
        <f>IF(AH32=1,NA(),IF(INDEX($B$6:$Y$23,($AC$3-1-3)*$AC$4+AJ32+1,0*$AC$5+AI32+1)="",NA(),3+(INDEX($B$6:$Y$23,($AC$3-1-3)*$AC$4+AJ32+1,0*$AC$5+AI32+1)-$AC$17)/$AC$19*$AC$13))</f>
        <v>3.4276755555555556</v>
      </c>
      <c r="AS32">
        <f>IF(AH32=1,NA(),IF(INDEX($B$6:$Y$23,($AC$3-1-3)*$AC$4+AJ32+1,1*$AC$5+AI32+1)="",NA(),3+(INDEX($B$6:$Y$23,($AC$3-1-3)*$AC$4+AJ32+1,1*$AC$5+AI32+1)-$AC$17)/$AC$19*$AC$13))</f>
        <v>3.3795688888888891</v>
      </c>
      <c r="AT32">
        <f>IF(AH32=1,NA(),IF(INDEX($B$6:$Y$23,($AC$3-1-4)*$AC$4+AJ32+1,0*$AC$5+AI32+1)="",NA(),4+(INDEX($B$6:$Y$23,($AC$3-1-4)*$AC$4+AJ32+1,0*$AC$5+AI32+1)-$AC$17)/$AC$19*$AC$13))</f>
        <v>4.4839822222222221</v>
      </c>
      <c r="AU32">
        <f>IF(AH32=1,NA(),IF(INDEX($B$6:$Y$23,($AC$3-1-4)*$AC$4+AJ32+1,1*$AC$5+AI32+1)="",NA(),4+(INDEX($B$6:$Y$23,($AC$3-1-4)*$AC$4+AJ32+1,1*$AC$5+AI32+1)-$AC$17)/$AC$19*$AC$13))</f>
        <v>4.4342355555555555</v>
      </c>
      <c r="AV32">
        <f>IF(AH32=1,NA(),IF(INDEX($B$6:$Y$23,($AC$3-1-5)*$AC$4+AJ32+1,0*$AC$5+AI32+1)="",NA(),5+(INDEX($B$6:$Y$23,($AC$3-1-5)*$AC$4+AJ32+1,0*$AC$5+AI32+1)-$AC$17)/$AC$19*$AC$13))</f>
        <v>5.5403799999999999</v>
      </c>
      <c r="AW32">
        <f>IF(AH32=1,NA(),IF(INDEX($B$6:$Y$23,($AC$3-1-5)*$AC$4+AJ32+1,1*$AC$5+AI32+1)="",NA(),5+(INDEX($B$6:$Y$23,($AC$3-1-5)*$AC$4+AJ32+1,1*$AC$5+AI32+1)-$AC$17)/$AC$19*$AC$13))</f>
        <v>5.4889022222222223</v>
      </c>
      <c r="AY32" t="str">
        <f>IF(AH32=1,"",IF(INDEX($B$6:$Y$23,($AC$3-1-0)*$AC$4+AJ32+1,0*$AC$5+AI32+1)="","",TEXT(INDEX($B$6:$Y$23,($AC$3-1-0)*$AC$4+AJ32+1,0*$AC$5+AI32+1),"#,##0")))</f>
        <v>634</v>
      </c>
      <c r="AZ32" t="str">
        <f>IF(AH32=1,"",IF(INDEX($B$6:$Y$23,($AC$3-1-0)*$AC$4+AJ32+1,1*$AC$5+AI32+1)="","",TEXT(INDEX($B$6:$Y$23,($AC$3-1-0)*$AC$4+AJ32+1,1*$AC$5+AI32+1),"#,##0")))</f>
        <v>587</v>
      </c>
      <c r="BA32" t="str">
        <f>IF(AH32=1,"",IF(INDEX($B$6:$Y$23,($AC$3-1-1)*$AC$4+AJ32+1,0*$AC$5+AI32+1)="","",TEXT(INDEX($B$6:$Y$23,($AC$3-1-1)*$AC$4+AJ32+1,0*$AC$5+AI32+1),"#,##0")))</f>
        <v>696</v>
      </c>
      <c r="BB32" t="str">
        <f>IF(AH32=1,"",IF(INDEX($B$6:$Y$23,($AC$3-1-1)*$AC$4+AJ32+1,1*$AC$5+AI32+1)="","",TEXT(INDEX($B$6:$Y$23,($AC$3-1-1)*$AC$4+AJ32+1,1*$AC$5+AI32+1),"#,##0")))</f>
        <v>647</v>
      </c>
      <c r="BC32" t="str">
        <f>IF(AH32=1,"",IF(INDEX($B$6:$Y$23,($AC$3-1-2)*$AC$4+AJ32+1,0*$AC$5+AI32+1)="","",TEXT(INDEX($B$6:$Y$23,($AC$3-1-2)*$AC$4+AJ32+1,0*$AC$5+AI32+1),"#,##0")))</f>
        <v>758</v>
      </c>
      <c r="BD32" t="str">
        <f>IF(AH32=1,"",IF(INDEX($B$6:$Y$23,($AC$3-1-2)*$AC$4+AJ32+1,1*$AC$5+AI32+1)="","",TEXT(INDEX($B$6:$Y$23,($AC$3-1-2)*$AC$4+AJ32+1,1*$AC$5+AI32+1),"#,##0")))</f>
        <v>707</v>
      </c>
      <c r="BE32" t="str">
        <f>IF(AH32=1,"",IF(INDEX($B$6:$Y$23,($AC$3-1-3)*$AC$4+AJ32+1,0*$AC$5+AI32+1)="","",TEXT(INDEX($B$6:$Y$23,($AC$3-1-3)*$AC$4+AJ32+1,0*$AC$5+AI32+1),"#,##0")))</f>
        <v>819</v>
      </c>
      <c r="BF32" t="str">
        <f>IF(AH32=1,"",IF(INDEX($B$6:$Y$23,($AC$3-1-3)*$AC$4+AJ32+1,1*$AC$5+AI32+1)="","",TEXT(INDEX($B$6:$Y$23,($AC$3-1-3)*$AC$4+AJ32+1,1*$AC$5+AI32+1),"#,##0")))</f>
        <v>767</v>
      </c>
      <c r="BG32" t="str">
        <f>IF(AH32=1,"",IF(INDEX($B$6:$Y$23,($AC$3-1-4)*$AC$4+AJ32+1,0*$AC$5+AI32+1)="","",TEXT(INDEX($B$6:$Y$23,($AC$3-1-4)*$AC$4+AJ32+1,0*$AC$5+AI32+1),"#,##0")))</f>
        <v>881</v>
      </c>
      <c r="BH32" t="str">
        <f>IF(AH32=1,"",IF(INDEX($B$6:$Y$23,($AC$3-1-4)*$AC$4+AJ32+1,1*$AC$5+AI32+1)="","",TEXT(INDEX($B$6:$Y$23,($AC$3-1-4)*$AC$4+AJ32+1,1*$AC$5+AI32+1),"#,##0")))</f>
        <v>827</v>
      </c>
      <c r="BI32" t="str">
        <f>IF(AH32=1,"",IF(INDEX($B$6:$Y$23,($AC$3-1-5)*$AC$4+AJ32+1,0*$AC$5+AI32+1)="","",TEXT(INDEX($B$6:$Y$23,($AC$3-1-5)*$AC$4+AJ32+1,0*$AC$5+AI32+1),"#,##0")))</f>
        <v>943</v>
      </c>
      <c r="BJ32" t="str">
        <f>IF(AH32=1,"",IF(INDEX($B$6:$Y$23,($AC$3-1-5)*$AC$4+AJ32+1,1*$AC$5+AI32+1)="","",TEXT(INDEX($B$6:$Y$23,($AC$3-1-5)*$AC$4+AJ32+1,1*$AC$5+AI32+1),"#,##0")))</f>
        <v>887</v>
      </c>
      <c r="BO32">
        <v>41.5</v>
      </c>
      <c r="BP32" t="e">
        <f>NA()</f>
        <v>#N/A</v>
      </c>
      <c r="BR32">
        <v>41.5</v>
      </c>
      <c r="BS32" t="e">
        <f>NA()</f>
        <v>#N/A</v>
      </c>
      <c r="BU32">
        <v>30</v>
      </c>
      <c r="BV32">
        <f>3+$AC$13+0.03</f>
        <v>3.8499999999999996</v>
      </c>
      <c r="BW32" t="str">
        <f>Dot!$A$14</f>
        <v>Business partner 09</v>
      </c>
      <c r="BY32">
        <v>3.35</v>
      </c>
      <c r="BZ32">
        <f>2+1*$AC$13</f>
        <v>2.82</v>
      </c>
      <c r="CA32" t="str">
        <f>TEXT($AC$17+($AC$18-$AC$17)*1,"#,##0")</f>
        <v>1,250</v>
      </c>
    </row>
    <row r="33" spans="28:79" x14ac:dyDescent="0.35">
      <c r="AB33">
        <v>10</v>
      </c>
      <c r="AC33">
        <f>AB33-$AC$12</f>
        <v>7</v>
      </c>
      <c r="AD33">
        <f>IF(AC33&lt;=0,-1,INT((AC33-1)/($AC$10+$AC$11)))</f>
        <v>0</v>
      </c>
      <c r="AE33">
        <f>IF(AC33&lt;=0,-1,MOD(AC33-1,($AC$10+$AC$11)))</f>
        <v>6</v>
      </c>
      <c r="AF33">
        <f>IF(OR(AE33&lt;0,AE33&gt;=$AC$10),-1,INT(AE33/$AC$9))</f>
        <v>6</v>
      </c>
      <c r="AG33">
        <f>IF(OR(AE33&lt;0,AE33&gt;=$AC$10),-1,MOD(AE33,$AC$9))</f>
        <v>0</v>
      </c>
      <c r="AH33">
        <f>IF(OR(AC33&lt;=0,AE33&lt;0,AE33&gt;=$AC$10,AD33&gt;=$AC$7),1,0)</f>
        <v>0</v>
      </c>
      <c r="AI33">
        <f>IF(AH33=1,-1,AF33)</f>
        <v>6</v>
      </c>
      <c r="AJ33">
        <f>IF(AH33=1,-1,AD33)</f>
        <v>0</v>
      </c>
      <c r="AK33" t="str">
        <f>IF(AH33=1,"",IF(AND(MOD(AI33,3)=0,AG33=INT(($AC$9-1)/2)),INDEX($B$5:$M$5,AI33+1),""))</f>
        <v>Jul</v>
      </c>
      <c r="AL33">
        <f>IF(AH33=1,NA(),IF(INDEX($B$6:$Y$23,($AC$3-1-0)*$AC$4+AJ33+1,0*$AC$5+AI33+1)="",NA(),0+(INDEX($B$6:$Y$23,($AC$3-1-0)*$AC$4+AJ33+1,0*$AC$5+AI33+1)-$AC$17)/$AC$19*$AC$13))</f>
        <v>0.1608111111111111</v>
      </c>
      <c r="AM33">
        <f>IF(AH33=1,NA(),IF(INDEX($B$6:$Y$23,($AC$3-1-0)*$AC$4+AJ33+1,1*$AC$5+AI33+1)="",NA(),0+(INDEX($B$6:$Y$23,($AC$3-1-0)*$AC$4+AJ33+1,1*$AC$5+AI33+1)-$AC$17)/$AC$19*$AC$13))</f>
        <v>0.17210888888888887</v>
      </c>
      <c r="AN33">
        <f>IF(AH33=1,NA(),IF(INDEX($B$6:$Y$23,($AC$3-1-1)*$AC$4+AJ33+1,0*$AC$5+AI33+1)="",NA(),1+(INDEX($B$6:$Y$23,($AC$3-1-1)*$AC$4+AJ33+1,0*$AC$5+AI33+1)-$AC$17)/$AC$19*$AC$13))</f>
        <v>1.2184844444444445</v>
      </c>
      <c r="AO33">
        <f>IF(AH33=1,NA(),IF(INDEX($B$6:$Y$23,($AC$3-1-1)*$AC$4+AJ33+1,1*$AC$5+AI33+1)="",NA(),1+(INDEX($B$6:$Y$23,($AC$3-1-1)*$AC$4+AJ33+1,1*$AC$5+AI33+1)-$AC$17)/$AC$19*$AC$13))</f>
        <v>1.228051111111111</v>
      </c>
      <c r="AP33">
        <f>IF(AH33=1,NA(),IF(INDEX($B$6:$Y$23,($AC$3-1-2)*$AC$4+AJ33+1,0*$AC$5+AI33+1)="",NA(),2+(INDEX($B$6:$Y$23,($AC$3-1-2)*$AC$4+AJ33+1,0*$AC$5+AI33+1)-$AC$17)/$AC$19*$AC$13))</f>
        <v>2.2760666666666665</v>
      </c>
      <c r="AQ33">
        <f>IF(AH33=1,NA(),IF(INDEX($B$6:$Y$23,($AC$3-1-2)*$AC$4+AJ33+1,1*$AC$5+AI33+1)="",NA(),2+(INDEX($B$6:$Y$23,($AC$3-1-2)*$AC$4+AJ33+1,1*$AC$5+AI33+1)-$AC$17)/$AC$19*$AC$13))</f>
        <v>2.2839022222222223</v>
      </c>
      <c r="AR33">
        <f>IF(AH33=1,NA(),IF(INDEX($B$6:$Y$23,($AC$3-1-3)*$AC$4+AJ33+1,0*$AC$5+AI33+1)="",NA(),3+(INDEX($B$6:$Y$23,($AC$3-1-3)*$AC$4+AJ33+1,0*$AC$5+AI33+1)-$AC$17)/$AC$19*$AC$13))</f>
        <v>3.3336488888888889</v>
      </c>
      <c r="AS33">
        <f>IF(AH33=1,NA(),IF(INDEX($B$6:$Y$23,($AC$3-1-3)*$AC$4+AJ33+1,1*$AC$5+AI33+1)="",NA(),3+(INDEX($B$6:$Y$23,($AC$3-1-3)*$AC$4+AJ33+1,1*$AC$5+AI33+1)-$AC$17)/$AC$19*$AC$13))</f>
        <v>3.3398444444444446</v>
      </c>
      <c r="AT33">
        <f>IF(AH33=1,NA(),IF(INDEX($B$6:$Y$23,($AC$3-1-4)*$AC$4+AJ33+1,0*$AC$5+AI33+1)="",NA(),4+(INDEX($B$6:$Y$23,($AC$3-1-4)*$AC$4+AJ33+1,0*$AC$5+AI33+1)-$AC$17)/$AC$19*$AC$13))</f>
        <v>4.3913222222222226</v>
      </c>
      <c r="AU33">
        <f>IF(AH33=1,NA(),IF(INDEX($B$6:$Y$23,($AC$3-1-4)*$AC$4+AJ33+1,1*$AC$5+AI33+1)="",NA(),4+(INDEX($B$6:$Y$23,($AC$3-1-4)*$AC$4+AJ33+1,1*$AC$5+AI33+1)-$AC$17)/$AC$19*$AC$13))</f>
        <v>4.3956955555555552</v>
      </c>
      <c r="AV33">
        <f>IF(AH33=1,NA(),IF(INDEX($B$6:$Y$23,($AC$3-1-5)*$AC$4+AJ33+1,0*$AC$5+AI33+1)="",NA(),5+(INDEX($B$6:$Y$23,($AC$3-1-5)*$AC$4+AJ33+1,0*$AC$5+AI33+1)-$AC$17)/$AC$19*$AC$13))</f>
        <v>5.4489044444444446</v>
      </c>
      <c r="AW33">
        <f>IF(AH33=1,NA(),IF(INDEX($B$6:$Y$23,($AC$3-1-5)*$AC$4+AJ33+1,1*$AC$5+AI33+1)="",NA(),5+(INDEX($B$6:$Y$23,($AC$3-1-5)*$AC$4+AJ33+1,1*$AC$5+AI33+1)-$AC$17)/$AC$19*$AC$13))</f>
        <v>5.451637777777778</v>
      </c>
      <c r="AY33" t="str">
        <f>IF(AH33=1,"",IF(INDEX($B$6:$Y$23,($AC$3-1-0)*$AC$4+AJ33+1,0*$AC$5+AI33+1)="","",TEXT(INDEX($B$6:$Y$23,($AC$3-1-0)*$AC$4+AJ33+1,0*$AC$5+AI33+1),"#,##0")))</f>
        <v>527</v>
      </c>
      <c r="AZ33" t="str">
        <f>IF(AH33=1,"",IF(INDEX($B$6:$Y$23,($AC$3-1-0)*$AC$4+AJ33+1,1*$AC$5+AI33+1)="","",TEXT(INDEX($B$6:$Y$23,($AC$3-1-0)*$AC$4+AJ33+1,1*$AC$5+AI33+1),"#,##0")))</f>
        <v>539</v>
      </c>
      <c r="BA33" t="str">
        <f>IF(AH33=1,"",IF(INDEX($B$6:$Y$23,($AC$3-1-1)*$AC$4+AJ33+1,0*$AC$5+AI33+1)="","",TEXT(INDEX($B$6:$Y$23,($AC$3-1-1)*$AC$4+AJ33+1,0*$AC$5+AI33+1),"#,##0")))</f>
        <v>590</v>
      </c>
      <c r="BB33" t="str">
        <f>IF(AH33=1,"",IF(INDEX($B$6:$Y$23,($AC$3-1-1)*$AC$4+AJ33+1,1*$AC$5+AI33+1)="","",TEXT(INDEX($B$6:$Y$23,($AC$3-1-1)*$AC$4+AJ33+1,1*$AC$5+AI33+1),"#,##0")))</f>
        <v>600</v>
      </c>
      <c r="BC33" t="str">
        <f>IF(AH33=1,"",IF(INDEX($B$6:$Y$23,($AC$3-1-2)*$AC$4+AJ33+1,0*$AC$5+AI33+1)="","",TEXT(INDEX($B$6:$Y$23,($AC$3-1-2)*$AC$4+AJ33+1,0*$AC$5+AI33+1),"#,##0")))</f>
        <v>653</v>
      </c>
      <c r="BD33" t="str">
        <f>IF(AH33=1,"",IF(INDEX($B$6:$Y$23,($AC$3-1-2)*$AC$4+AJ33+1,1*$AC$5+AI33+1)="","",TEXT(INDEX($B$6:$Y$23,($AC$3-1-2)*$AC$4+AJ33+1,1*$AC$5+AI33+1),"#,##0")))</f>
        <v>662</v>
      </c>
      <c r="BE33" t="str">
        <f>IF(AH33=1,"",IF(INDEX($B$6:$Y$23,($AC$3-1-3)*$AC$4+AJ33+1,0*$AC$5+AI33+1)="","",TEXT(INDEX($B$6:$Y$23,($AC$3-1-3)*$AC$4+AJ33+1,0*$AC$5+AI33+1),"#,##0")))</f>
        <v>716</v>
      </c>
      <c r="BF33" t="str">
        <f>IF(AH33=1,"",IF(INDEX($B$6:$Y$23,($AC$3-1-3)*$AC$4+AJ33+1,1*$AC$5+AI33+1)="","",TEXT(INDEX($B$6:$Y$23,($AC$3-1-3)*$AC$4+AJ33+1,1*$AC$5+AI33+1),"#,##0")))</f>
        <v>723</v>
      </c>
      <c r="BG33" t="str">
        <f>IF(AH33=1,"",IF(INDEX($B$6:$Y$23,($AC$3-1-4)*$AC$4+AJ33+1,0*$AC$5+AI33+1)="","",TEXT(INDEX($B$6:$Y$23,($AC$3-1-4)*$AC$4+AJ33+1,0*$AC$5+AI33+1),"#,##0")))</f>
        <v>780</v>
      </c>
      <c r="BH33" t="str">
        <f>IF(AH33=1,"",IF(INDEX($B$6:$Y$23,($AC$3-1-4)*$AC$4+AJ33+1,1*$AC$5+AI33+1)="","",TEXT(INDEX($B$6:$Y$23,($AC$3-1-4)*$AC$4+AJ33+1,1*$AC$5+AI33+1),"#,##0")))</f>
        <v>784</v>
      </c>
      <c r="BI33" t="str">
        <f>IF(AH33=1,"",IF(INDEX($B$6:$Y$23,($AC$3-1-5)*$AC$4+AJ33+1,0*$AC$5+AI33+1)="","",TEXT(INDEX($B$6:$Y$23,($AC$3-1-5)*$AC$4+AJ33+1,0*$AC$5+AI33+1),"#,##0")))</f>
        <v>843</v>
      </c>
      <c r="BJ33" t="str">
        <f>IF(AH33=1,"",IF(INDEX($B$6:$Y$23,($AC$3-1-5)*$AC$4+AJ33+1,1*$AC$5+AI33+1)="","",TEXT(INDEX($B$6:$Y$23,($AC$3-1-5)*$AC$4+AJ33+1,1*$AC$5+AI33+1),"#,##0")))</f>
        <v>846</v>
      </c>
      <c r="BO33">
        <v>0.5</v>
      </c>
      <c r="BP33">
        <v>3.91</v>
      </c>
      <c r="BR33">
        <v>3.5</v>
      </c>
      <c r="BS33" t="e">
        <f>IF(OR($AC$17&gt;0,$AC$18&lt;0),NA(),1+$AC$20)</f>
        <v>#N/A</v>
      </c>
      <c r="BU33">
        <v>4</v>
      </c>
      <c r="BV33">
        <f>2+$AC$13+0.03</f>
        <v>2.8499999999999996</v>
      </c>
      <c r="BW33" t="str">
        <f>Dot!$A$15</f>
        <v>Business partner 10</v>
      </c>
      <c r="BY33">
        <v>3.35</v>
      </c>
      <c r="BZ33">
        <f>3+0*$AC$13</f>
        <v>3</v>
      </c>
      <c r="CA33" t="str">
        <f>TEXT($AC$17+($AC$18-$AC$17)*0,"#,##0")</f>
        <v>350</v>
      </c>
    </row>
    <row r="34" spans="28:79" x14ac:dyDescent="0.35">
      <c r="AB34">
        <v>11</v>
      </c>
      <c r="AC34">
        <f>AB34-$AC$12</f>
        <v>8</v>
      </c>
      <c r="AD34">
        <f>IF(AC34&lt;=0,-1,INT((AC34-1)/($AC$10+$AC$11)))</f>
        <v>0</v>
      </c>
      <c r="AE34">
        <f>IF(AC34&lt;=0,-1,MOD(AC34-1,($AC$10+$AC$11)))</f>
        <v>7</v>
      </c>
      <c r="AF34">
        <f>IF(OR(AE34&lt;0,AE34&gt;=$AC$10),-1,INT(AE34/$AC$9))</f>
        <v>7</v>
      </c>
      <c r="AG34">
        <f>IF(OR(AE34&lt;0,AE34&gt;=$AC$10),-1,MOD(AE34,$AC$9))</f>
        <v>0</v>
      </c>
      <c r="AH34">
        <f>IF(OR(AC34&lt;=0,AE34&lt;0,AE34&gt;=$AC$10,AD34&gt;=$AC$7),1,0)</f>
        <v>0</v>
      </c>
      <c r="AI34">
        <f>IF(AH34=1,-1,AF34)</f>
        <v>7</v>
      </c>
      <c r="AJ34">
        <f>IF(AH34=1,-1,AD34)</f>
        <v>0</v>
      </c>
      <c r="AK34" t="str">
        <f>IF(AH34=1,"",IF(AND(MOD(AI34,3)=0,AG34=INT(($AC$9-1)/2)),INDEX($B$5:$M$5,AI34+1),""))</f>
        <v/>
      </c>
      <c r="AL34">
        <f>IF(AH34=1,NA(),IF(INDEX($B$6:$Y$23,($AC$3-1-0)*$AC$4+AJ34+1,0*$AC$5+AI34+1)="",NA(),0+(INDEX($B$6:$Y$23,($AC$3-1-0)*$AC$4+AJ34+1,0*$AC$5+AI34+1)-$AC$17)/$AC$19*$AC$13))</f>
        <v>0.22704888888888894</v>
      </c>
      <c r="AM34">
        <f>IF(AH34=1,NA(),IF(INDEX($B$6:$Y$23,($AC$3-1-0)*$AC$4+AJ34+1,1*$AC$5+AI34+1)="",NA(),0+(INDEX($B$6:$Y$23,($AC$3-1-0)*$AC$4+AJ34+1,1*$AC$5+AI34+1)-$AC$17)/$AC$19*$AC$13))</f>
        <v>0.21073999999999996</v>
      </c>
      <c r="AN34">
        <f>IF(AH34=1,NA(),IF(INDEX($B$6:$Y$23,($AC$3-1-1)*$AC$4+AJ34+1,0*$AC$5+AI34+1)="",NA(),1+(INDEX($B$6:$Y$23,($AC$3-1-1)*$AC$4+AJ34+1,0*$AC$5+AI34+1)-$AC$17)/$AC$19*$AC$13))</f>
        <v>1.2859977777777778</v>
      </c>
      <c r="AO34">
        <f>IF(AH34=1,NA(),IF(INDEX($B$6:$Y$23,($AC$3-1-1)*$AC$4+AJ34+1,1*$AC$5+AI34+1)="",NA(),1+(INDEX($B$6:$Y$23,($AC$3-1-1)*$AC$4+AJ34+1,1*$AC$5+AI34+1)-$AC$17)/$AC$19*$AC$13))</f>
        <v>1.2678666666666667</v>
      </c>
      <c r="AP34">
        <f>IF(AH34=1,NA(),IF(INDEX($B$6:$Y$23,($AC$3-1-2)*$AC$4+AJ34+1,0*$AC$5+AI34+1)="",NA(),2+(INDEX($B$6:$Y$23,($AC$3-1-2)*$AC$4+AJ34+1,0*$AC$5+AI34+1)-$AC$17)/$AC$19*$AC$13))</f>
        <v>2.3448555555555557</v>
      </c>
      <c r="AQ34">
        <f>IF(AH34=1,NA(),IF(INDEX($B$6:$Y$23,($AC$3-1-2)*$AC$4+AJ34+1,1*$AC$5+AI34+1)="",NA(),2+(INDEX($B$6:$Y$23,($AC$3-1-2)*$AC$4+AJ34+1,1*$AC$5+AI34+1)-$AC$17)/$AC$19*$AC$13))</f>
        <v>2.3249022222222222</v>
      </c>
      <c r="AR34">
        <f>IF(AH34=1,NA(),IF(INDEX($B$6:$Y$23,($AC$3-1-3)*$AC$4+AJ34+1,0*$AC$5+AI34+1)="",NA(),3+(INDEX($B$6:$Y$23,($AC$3-1-3)*$AC$4+AJ34+1,0*$AC$5+AI34+1)-$AC$17)/$AC$19*$AC$13))</f>
        <v>3.4037133333333331</v>
      </c>
      <c r="AS34">
        <f>IF(AH34=1,NA(),IF(INDEX($B$6:$Y$23,($AC$3-1-3)*$AC$4+AJ34+1,1*$AC$5+AI34+1)="",NA(),3+(INDEX($B$6:$Y$23,($AC$3-1-3)*$AC$4+AJ34+1,1*$AC$5+AI34+1)-$AC$17)/$AC$19*$AC$13))</f>
        <v>3.3820288888888888</v>
      </c>
      <c r="AT34">
        <f>IF(AH34=1,NA(),IF(INDEX($B$6:$Y$23,($AC$3-1-4)*$AC$4+AJ34+1,0*$AC$5+AI34+1)="",NA(),4+(INDEX($B$6:$Y$23,($AC$3-1-4)*$AC$4+AJ34+1,0*$AC$5+AI34+1)-$AC$17)/$AC$19*$AC$13))</f>
        <v>4.4626622222222219</v>
      </c>
      <c r="AU34">
        <f>IF(AH34=1,NA(),IF(INDEX($B$6:$Y$23,($AC$3-1-4)*$AC$4+AJ34+1,1*$AC$5+AI34+1)="",NA(),4+(INDEX($B$6:$Y$23,($AC$3-1-4)*$AC$4+AJ34+1,1*$AC$5+AI34+1)-$AC$17)/$AC$19*$AC$13))</f>
        <v>4.4391555555555557</v>
      </c>
      <c r="AV34">
        <f>IF(AH34=1,NA(),IF(INDEX($B$6:$Y$23,($AC$3-1-5)*$AC$4+AJ34+1,0*$AC$5+AI34+1)="",NA(),5+(INDEX($B$6:$Y$23,($AC$3-1-5)*$AC$4+AJ34+1,0*$AC$5+AI34+1)-$AC$17)/$AC$19*$AC$13))</f>
        <v>5.5215199999999998</v>
      </c>
      <c r="AW34">
        <f>IF(AH34=1,NA(),IF(INDEX($B$6:$Y$23,($AC$3-1-5)*$AC$4+AJ34+1,1*$AC$5+AI34+1)="",NA(),5+(INDEX($B$6:$Y$23,($AC$3-1-5)*$AC$4+AJ34+1,1*$AC$5+AI34+1)-$AC$17)/$AC$19*$AC$13))</f>
        <v>5.4962822222222218</v>
      </c>
      <c r="AY34" t="str">
        <f>IF(AH34=1,"",IF(INDEX($B$6:$Y$23,($AC$3-1-0)*$AC$4+AJ34+1,0*$AC$5+AI34+1)="","",TEXT(INDEX($B$6:$Y$23,($AC$3-1-0)*$AC$4+AJ34+1,0*$AC$5+AI34+1),"#,##0")))</f>
        <v>599</v>
      </c>
      <c r="AZ34" t="str">
        <f>IF(AH34=1,"",IF(INDEX($B$6:$Y$23,($AC$3-1-0)*$AC$4+AJ34+1,1*$AC$5+AI34+1)="","",TEXT(INDEX($B$6:$Y$23,($AC$3-1-0)*$AC$4+AJ34+1,1*$AC$5+AI34+1),"#,##0")))</f>
        <v>581</v>
      </c>
      <c r="BA34" t="str">
        <f>IF(AH34=1,"",IF(INDEX($B$6:$Y$23,($AC$3-1-1)*$AC$4+AJ34+1,0*$AC$5+AI34+1)="","",TEXT(INDEX($B$6:$Y$23,($AC$3-1-1)*$AC$4+AJ34+1,0*$AC$5+AI34+1),"#,##0")))</f>
        <v>664</v>
      </c>
      <c r="BB34" t="str">
        <f>IF(AH34=1,"",IF(INDEX($B$6:$Y$23,($AC$3-1-1)*$AC$4+AJ34+1,1*$AC$5+AI34+1)="","",TEXT(INDEX($B$6:$Y$23,($AC$3-1-1)*$AC$4+AJ34+1,1*$AC$5+AI34+1),"#,##0")))</f>
        <v>644</v>
      </c>
      <c r="BC34" t="str">
        <f>IF(AH34=1,"",IF(INDEX($B$6:$Y$23,($AC$3-1-2)*$AC$4+AJ34+1,0*$AC$5+AI34+1)="","",TEXT(INDEX($B$6:$Y$23,($AC$3-1-2)*$AC$4+AJ34+1,0*$AC$5+AI34+1),"#,##0")))</f>
        <v>729</v>
      </c>
      <c r="BD34" t="str">
        <f>IF(AH34=1,"",IF(INDEX($B$6:$Y$23,($AC$3-1-2)*$AC$4+AJ34+1,1*$AC$5+AI34+1)="","",TEXT(INDEX($B$6:$Y$23,($AC$3-1-2)*$AC$4+AJ34+1,1*$AC$5+AI34+1),"#,##0")))</f>
        <v>707</v>
      </c>
      <c r="BE34" t="str">
        <f>IF(AH34=1,"",IF(INDEX($B$6:$Y$23,($AC$3-1-3)*$AC$4+AJ34+1,0*$AC$5+AI34+1)="","",TEXT(INDEX($B$6:$Y$23,($AC$3-1-3)*$AC$4+AJ34+1,0*$AC$5+AI34+1),"#,##0")))</f>
        <v>793</v>
      </c>
      <c r="BF34" t="str">
        <f>IF(AH34=1,"",IF(INDEX($B$6:$Y$23,($AC$3-1-3)*$AC$4+AJ34+1,1*$AC$5+AI34+1)="","",TEXT(INDEX($B$6:$Y$23,($AC$3-1-3)*$AC$4+AJ34+1,1*$AC$5+AI34+1),"#,##0")))</f>
        <v>769</v>
      </c>
      <c r="BG34" t="str">
        <f>IF(AH34=1,"",IF(INDEX($B$6:$Y$23,($AC$3-1-4)*$AC$4+AJ34+1,0*$AC$5+AI34+1)="","",TEXT(INDEX($B$6:$Y$23,($AC$3-1-4)*$AC$4+AJ34+1,0*$AC$5+AI34+1),"#,##0")))</f>
        <v>858</v>
      </c>
      <c r="BH34" t="str">
        <f>IF(AH34=1,"",IF(INDEX($B$6:$Y$23,($AC$3-1-4)*$AC$4+AJ34+1,1*$AC$5+AI34+1)="","",TEXT(INDEX($B$6:$Y$23,($AC$3-1-4)*$AC$4+AJ34+1,1*$AC$5+AI34+1),"#,##0")))</f>
        <v>832</v>
      </c>
      <c r="BI34" t="str">
        <f>IF(AH34=1,"",IF(INDEX($B$6:$Y$23,($AC$3-1-5)*$AC$4+AJ34+1,0*$AC$5+AI34+1)="","",TEXT(INDEX($B$6:$Y$23,($AC$3-1-5)*$AC$4+AJ34+1,0*$AC$5+AI34+1),"#,##0")))</f>
        <v>922</v>
      </c>
      <c r="BJ34" t="str">
        <f>IF(AH34=1,"",IF(INDEX($B$6:$Y$23,($AC$3-1-5)*$AC$4+AJ34+1,1*$AC$5+AI34+1)="","",TEXT(INDEX($B$6:$Y$23,($AC$3-1-5)*$AC$4+AJ34+1,1*$AC$5+AI34+1),"#,##0")))</f>
        <v>895</v>
      </c>
      <c r="BO34">
        <v>41.5</v>
      </c>
      <c r="BP34">
        <v>3.91</v>
      </c>
      <c r="BR34">
        <v>15.5</v>
      </c>
      <c r="BS34" t="e">
        <f>IF(OR($AC$17&gt;0,$AC$18&lt;0),NA(),1+$AC$20)</f>
        <v>#N/A</v>
      </c>
      <c r="BU34">
        <v>17</v>
      </c>
      <c r="BV34">
        <f>2+$AC$13+0.03</f>
        <v>2.8499999999999996</v>
      </c>
      <c r="BW34" t="str">
        <f>Dot!$A$16</f>
        <v>Business partner 11</v>
      </c>
      <c r="BY34">
        <v>3.35</v>
      </c>
      <c r="BZ34">
        <f>3+0.5*$AC$13</f>
        <v>3.41</v>
      </c>
      <c r="CA34" t="str">
        <f>TEXT($AC$17+($AC$18-$AC$17)*0.5,"#,##0")</f>
        <v>800</v>
      </c>
    </row>
    <row r="35" spans="28:79" x14ac:dyDescent="0.35">
      <c r="AB35">
        <v>12</v>
      </c>
      <c r="AC35">
        <f>AB35-$AC$12</f>
        <v>9</v>
      </c>
      <c r="AD35">
        <f>IF(AC35&lt;=0,-1,INT((AC35-1)/($AC$10+$AC$11)))</f>
        <v>0</v>
      </c>
      <c r="AE35">
        <f>IF(AC35&lt;=0,-1,MOD(AC35-1,($AC$10+$AC$11)))</f>
        <v>8</v>
      </c>
      <c r="AF35">
        <f>IF(OR(AE35&lt;0,AE35&gt;=$AC$10),-1,INT(AE35/$AC$9))</f>
        <v>8</v>
      </c>
      <c r="AG35">
        <f>IF(OR(AE35&lt;0,AE35&gt;=$AC$10),-1,MOD(AE35,$AC$9))</f>
        <v>0</v>
      </c>
      <c r="AH35">
        <f>IF(OR(AC35&lt;=0,AE35&lt;0,AE35&gt;=$AC$10,AD35&gt;=$AC$7),1,0)</f>
        <v>0</v>
      </c>
      <c r="AI35">
        <f>IF(AH35=1,-1,AF35)</f>
        <v>8</v>
      </c>
      <c r="AJ35">
        <f>IF(AH35=1,-1,AD35)</f>
        <v>0</v>
      </c>
      <c r="AK35" t="str">
        <f>IF(AH35=1,"",IF(AND(MOD(AI35,3)=0,AG35=INT(($AC$9-1)/2)),INDEX($B$5:$M$5,AI35+1),""))</f>
        <v/>
      </c>
      <c r="AL35">
        <f>IF(AH35=1,NA(),IF(INDEX($B$6:$Y$23,($AC$3-1-0)*$AC$4+AJ35+1,0*$AC$5+AI35+1)="",NA(),0+(INDEX($B$6:$Y$23,($AC$3-1-0)*$AC$4+AJ35+1,0*$AC$5+AI35+1)-$AC$17)/$AC$19*$AC$13))</f>
        <v>0.29337777777777774</v>
      </c>
      <c r="AM35">
        <f>IF(AH35=1,NA(),IF(INDEX($B$6:$Y$23,($AC$3-1-0)*$AC$4+AJ35+1,1*$AC$5+AI35+1)="",NA(),0+(INDEX($B$6:$Y$23,($AC$3-1-0)*$AC$4+AJ35+1,1*$AC$5+AI35+1)-$AC$17)/$AC$19*$AC$13))</f>
        <v>0.24928000000000003</v>
      </c>
      <c r="AN35">
        <f>IF(AH35=1,NA(),IF(INDEX($B$6:$Y$23,($AC$3-1-1)*$AC$4+AJ35+1,0*$AC$5+AI35+1)="",NA(),1+(INDEX($B$6:$Y$23,($AC$3-1-1)*$AC$4+AJ35+1,0*$AC$5+AI35+1)-$AC$17)/$AC$19*$AC$13))</f>
        <v>1.3535111111111111</v>
      </c>
      <c r="AO35">
        <f>IF(AH35=1,NA(),IF(INDEX($B$6:$Y$23,($AC$3-1-1)*$AC$4+AJ35+1,1*$AC$5+AI35+1)="",NA(),1+(INDEX($B$6:$Y$23,($AC$3-1-1)*$AC$4+AJ35+1,1*$AC$5+AI35+1)-$AC$17)/$AC$19*$AC$13))</f>
        <v>1.3076822222222222</v>
      </c>
      <c r="AP35">
        <f>IF(AH35=1,NA(),IF(INDEX($B$6:$Y$23,($AC$3-1-2)*$AC$4+AJ35+1,0*$AC$5+AI35+1)="",NA(),2+(INDEX($B$6:$Y$23,($AC$3-1-2)*$AC$4+AJ35+1,0*$AC$5+AI35+1)-$AC$17)/$AC$19*$AC$13))</f>
        <v>2.4136444444444445</v>
      </c>
      <c r="AQ35">
        <f>IF(AH35=1,NA(),IF(INDEX($B$6:$Y$23,($AC$3-1-2)*$AC$4+AJ35+1,1*$AC$5+AI35+1)="",NA(),2+(INDEX($B$6:$Y$23,($AC$3-1-2)*$AC$4+AJ35+1,1*$AC$5+AI35+1)-$AC$17)/$AC$19*$AC$13))</f>
        <v>2.3659933333333334</v>
      </c>
      <c r="AR35">
        <f>IF(AH35=1,NA(),IF(INDEX($B$6:$Y$23,($AC$3-1-3)*$AC$4+AJ35+1,0*$AC$5+AI35+1)="",NA(),3+(INDEX($B$6:$Y$23,($AC$3-1-3)*$AC$4+AJ35+1,0*$AC$5+AI35+1)-$AC$17)/$AC$19*$AC$13))</f>
        <v>3.4737777777777779</v>
      </c>
      <c r="AS35">
        <f>IF(AH35=1,NA(),IF(INDEX($B$6:$Y$23,($AC$3-1-3)*$AC$4+AJ35+1,1*$AC$5+AI35+1)="",NA(),3+(INDEX($B$6:$Y$23,($AC$3-1-3)*$AC$4+AJ35+1,1*$AC$5+AI35+1)-$AC$17)/$AC$19*$AC$13))</f>
        <v>3.4243044444444446</v>
      </c>
      <c r="AT35">
        <f>IF(AH35=1,NA(),IF(INDEX($B$6:$Y$23,($AC$3-1-4)*$AC$4+AJ35+1,0*$AC$5+AI35+1)="",NA(),4+(INDEX($B$6:$Y$23,($AC$3-1-4)*$AC$4+AJ35+1,0*$AC$5+AI35+1)-$AC$17)/$AC$19*$AC$13))</f>
        <v>4.5339111111111112</v>
      </c>
      <c r="AU35">
        <f>IF(AH35=1,NA(),IF(INDEX($B$6:$Y$23,($AC$3-1-4)*$AC$4+AJ35+1,1*$AC$5+AI35+1)="",NA(),4+(INDEX($B$6:$Y$23,($AC$3-1-4)*$AC$4+AJ35+1,1*$AC$5+AI35+1)-$AC$17)/$AC$19*$AC$13))</f>
        <v>4.4826155555555554</v>
      </c>
      <c r="AV35">
        <f>IF(AH35=1,NA(),IF(INDEX($B$6:$Y$23,($AC$3-1-5)*$AC$4+AJ35+1,0*$AC$5+AI35+1)="",NA(),5+(INDEX($B$6:$Y$23,($AC$3-1-5)*$AC$4+AJ35+1,0*$AC$5+AI35+1)-$AC$17)/$AC$19*$AC$13))</f>
        <v>5.5940444444444442</v>
      </c>
      <c r="AW35">
        <f>IF(AH35=1,NA(),IF(INDEX($B$6:$Y$23,($AC$3-1-5)*$AC$4+AJ35+1,1*$AC$5+AI35+1)="",NA(),5+(INDEX($B$6:$Y$23,($AC$3-1-5)*$AC$4+AJ35+1,1*$AC$5+AI35+1)-$AC$17)/$AC$19*$AC$13))</f>
        <v>5.5409266666666666</v>
      </c>
      <c r="AY35" t="str">
        <f>IF(AH35=1,"",IF(INDEX($B$6:$Y$23,($AC$3-1-0)*$AC$4+AJ35+1,0*$AC$5+AI35+1)="","",TEXT(INDEX($B$6:$Y$23,($AC$3-1-0)*$AC$4+AJ35+1,0*$AC$5+AI35+1),"#,##0")))</f>
        <v>672</v>
      </c>
      <c r="AZ35" t="str">
        <f>IF(AH35=1,"",IF(INDEX($B$6:$Y$23,($AC$3-1-0)*$AC$4+AJ35+1,1*$AC$5+AI35+1)="","",TEXT(INDEX($B$6:$Y$23,($AC$3-1-0)*$AC$4+AJ35+1,1*$AC$5+AI35+1),"#,##0")))</f>
        <v>624</v>
      </c>
      <c r="BA35" t="str">
        <f>IF(AH35=1,"",IF(INDEX($B$6:$Y$23,($AC$3-1-1)*$AC$4+AJ35+1,0*$AC$5+AI35+1)="","",TEXT(INDEX($B$6:$Y$23,($AC$3-1-1)*$AC$4+AJ35+1,0*$AC$5+AI35+1),"#,##0")))</f>
        <v>738</v>
      </c>
      <c r="BB35" t="str">
        <f>IF(AH35=1,"",IF(INDEX($B$6:$Y$23,($AC$3-1-1)*$AC$4+AJ35+1,1*$AC$5+AI35+1)="","",TEXT(INDEX($B$6:$Y$23,($AC$3-1-1)*$AC$4+AJ35+1,1*$AC$5+AI35+1),"#,##0")))</f>
        <v>688</v>
      </c>
      <c r="BC35" t="str">
        <f>IF(AH35=1,"",IF(INDEX($B$6:$Y$23,($AC$3-1-2)*$AC$4+AJ35+1,0*$AC$5+AI35+1)="","",TEXT(INDEX($B$6:$Y$23,($AC$3-1-2)*$AC$4+AJ35+1,0*$AC$5+AI35+1),"#,##0")))</f>
        <v>804</v>
      </c>
      <c r="BD35" t="str">
        <f>IF(AH35=1,"",IF(INDEX($B$6:$Y$23,($AC$3-1-2)*$AC$4+AJ35+1,1*$AC$5+AI35+1)="","",TEXT(INDEX($B$6:$Y$23,($AC$3-1-2)*$AC$4+AJ35+1,1*$AC$5+AI35+1),"#,##0")))</f>
        <v>752</v>
      </c>
      <c r="BE35" t="str">
        <f>IF(AH35=1,"",IF(INDEX($B$6:$Y$23,($AC$3-1-3)*$AC$4+AJ35+1,0*$AC$5+AI35+1)="","",TEXT(INDEX($B$6:$Y$23,($AC$3-1-3)*$AC$4+AJ35+1,0*$AC$5+AI35+1),"#,##0")))</f>
        <v>870</v>
      </c>
      <c r="BF35" t="str">
        <f>IF(AH35=1,"",IF(INDEX($B$6:$Y$23,($AC$3-1-3)*$AC$4+AJ35+1,1*$AC$5+AI35+1)="","",TEXT(INDEX($B$6:$Y$23,($AC$3-1-3)*$AC$4+AJ35+1,1*$AC$5+AI35+1),"#,##0")))</f>
        <v>816</v>
      </c>
      <c r="BG35" t="str">
        <f>IF(AH35=1,"",IF(INDEX($B$6:$Y$23,($AC$3-1-4)*$AC$4+AJ35+1,0*$AC$5+AI35+1)="","",TEXT(INDEX($B$6:$Y$23,($AC$3-1-4)*$AC$4+AJ35+1,0*$AC$5+AI35+1),"#,##0")))</f>
        <v>936</v>
      </c>
      <c r="BH35" t="str">
        <f>IF(AH35=1,"",IF(INDEX($B$6:$Y$23,($AC$3-1-4)*$AC$4+AJ35+1,1*$AC$5+AI35+1)="","",TEXT(INDEX($B$6:$Y$23,($AC$3-1-4)*$AC$4+AJ35+1,1*$AC$5+AI35+1),"#,##0")))</f>
        <v>880</v>
      </c>
      <c r="BI35" t="str">
        <f>IF(AH35=1,"",IF(INDEX($B$6:$Y$23,($AC$3-1-5)*$AC$4+AJ35+1,0*$AC$5+AI35+1)="","",TEXT(INDEX($B$6:$Y$23,($AC$3-1-5)*$AC$4+AJ35+1,0*$AC$5+AI35+1),"#,##0")))</f>
        <v>1,002</v>
      </c>
      <c r="BJ35" t="str">
        <f>IF(AH35=1,"",IF(INDEX($B$6:$Y$23,($AC$3-1-5)*$AC$4+AJ35+1,1*$AC$5+AI35+1)="","",TEXT(INDEX($B$6:$Y$23,($AC$3-1-5)*$AC$4+AJ35+1,1*$AC$5+AI35+1),"#,##0")))</f>
        <v>944</v>
      </c>
      <c r="BO35">
        <v>41.5</v>
      </c>
      <c r="BP35" t="e">
        <f>NA()</f>
        <v>#N/A</v>
      </c>
      <c r="BR35">
        <v>15.5</v>
      </c>
      <c r="BS35" t="e">
        <f>NA()</f>
        <v>#N/A</v>
      </c>
      <c r="BU35">
        <v>30</v>
      </c>
      <c r="BV35">
        <f>2+$AC$13+0.03</f>
        <v>2.8499999999999996</v>
      </c>
      <c r="BW35" t="str">
        <f>Dot!$A$17</f>
        <v>Business partner 12</v>
      </c>
      <c r="BY35">
        <v>3.35</v>
      </c>
      <c r="BZ35">
        <f>3+1*$AC$13</f>
        <v>3.82</v>
      </c>
      <c r="CA35" t="str">
        <f>TEXT($AC$17+($AC$18-$AC$17)*1,"#,##0")</f>
        <v>1,250</v>
      </c>
    </row>
    <row r="36" spans="28:79" x14ac:dyDescent="0.35">
      <c r="AB36">
        <v>13</v>
      </c>
      <c r="AC36">
        <f>AB36-$AC$12</f>
        <v>10</v>
      </c>
      <c r="AD36">
        <f>IF(AC36&lt;=0,-1,INT((AC36-1)/($AC$10+$AC$11)))</f>
        <v>0</v>
      </c>
      <c r="AE36">
        <f>IF(AC36&lt;=0,-1,MOD(AC36-1,($AC$10+$AC$11)))</f>
        <v>9</v>
      </c>
      <c r="AF36">
        <f>IF(OR(AE36&lt;0,AE36&gt;=$AC$10),-1,INT(AE36/$AC$9))</f>
        <v>9</v>
      </c>
      <c r="AG36">
        <f>IF(OR(AE36&lt;0,AE36&gt;=$AC$10),-1,MOD(AE36,$AC$9))</f>
        <v>0</v>
      </c>
      <c r="AH36">
        <f>IF(OR(AC36&lt;=0,AE36&lt;0,AE36&gt;=$AC$10,AD36&gt;=$AC$7),1,0)</f>
        <v>0</v>
      </c>
      <c r="AI36">
        <f>IF(AH36=1,-1,AF36)</f>
        <v>9</v>
      </c>
      <c r="AJ36">
        <f>IF(AH36=1,-1,AD36)</f>
        <v>0</v>
      </c>
      <c r="AK36" t="str">
        <f>IF(AH36=1,"",IF(AND(MOD(AI36,3)=0,AG36=INT(($AC$9-1)/2)),INDEX($B$5:$M$5,AI36+1),""))</f>
        <v>Oct</v>
      </c>
      <c r="AL36">
        <f>IF(AH36=1,NA(),IF(INDEX($B$6:$Y$23,($AC$3-1-0)*$AC$4+AJ36+1,0*$AC$5+AI36+1)="",NA(),0+(INDEX($B$6:$Y$23,($AC$3-1-0)*$AC$4+AJ36+1,0*$AC$5+AI36+1)-$AC$17)/$AC$19*$AC$13))</f>
        <v>0.19570666666666661</v>
      </c>
      <c r="AM36">
        <f>IF(AH36=1,NA(),IF(INDEX($B$6:$Y$23,($AC$3-1-0)*$AC$4+AJ36+1,1*$AC$5+AI36+1)="",NA(),0+(INDEX($B$6:$Y$23,($AC$3-1-0)*$AC$4+AJ36+1,1*$AC$5+AI36+1)-$AC$17)/$AC$19*$AC$13))</f>
        <v>0.2059111111111111</v>
      </c>
      <c r="AN36">
        <f>IF(AH36=1,NA(),IF(INDEX($B$6:$Y$23,($AC$3-1-1)*$AC$4+AJ36+1,0*$AC$5+AI36+1)="",NA(),1+(INDEX($B$6:$Y$23,($AC$3-1-1)*$AC$4+AJ36+1,0*$AC$5+AI36+1)-$AC$17)/$AC$19*$AC$13))</f>
        <v>1.2570244444444445</v>
      </c>
      <c r="AO36">
        <f>IF(AH36=1,NA(),IF(INDEX($B$6:$Y$23,($AC$3-1-1)*$AC$4+AJ36+1,1*$AC$5+AI36+1)="",NA(),1+(INDEX($B$6:$Y$23,($AC$3-1-1)*$AC$4+AJ36+1,1*$AC$5+AI36+1)-$AC$17)/$AC$19*$AC$13))</f>
        <v>1.2654977777777778</v>
      </c>
      <c r="AP36">
        <f>IF(AH36=1,NA(),IF(INDEX($B$6:$Y$23,($AC$3-1-2)*$AC$4+AJ36+1,0*$AC$5+AI36+1)="",NA(),2+(INDEX($B$6:$Y$23,($AC$3-1-2)*$AC$4+AJ36+1,0*$AC$5+AI36+1)-$AC$17)/$AC$19*$AC$13))</f>
        <v>2.3184333333333331</v>
      </c>
      <c r="AQ36">
        <f>IF(AH36=1,NA(),IF(INDEX($B$6:$Y$23,($AC$3-1-2)*$AC$4+AJ36+1,1*$AC$5+AI36+1)="",NA(),2+(INDEX($B$6:$Y$23,($AC$3-1-2)*$AC$4+AJ36+1,1*$AC$5+AI36+1)-$AC$17)/$AC$19*$AC$13))</f>
        <v>2.3249933333333335</v>
      </c>
      <c r="AR36">
        <f>IF(AH36=1,NA(),IF(INDEX($B$6:$Y$23,($AC$3-1-3)*$AC$4+AJ36+1,0*$AC$5+AI36+1)="",NA(),3+(INDEX($B$6:$Y$23,($AC$3-1-3)*$AC$4+AJ36+1,0*$AC$5+AI36+1)-$AC$17)/$AC$19*$AC$13))</f>
        <v>3.379842222222222</v>
      </c>
      <c r="AS36">
        <f>IF(AH36=1,NA(),IF(INDEX($B$6:$Y$23,($AC$3-1-3)*$AC$4+AJ36+1,1*$AC$5+AI36+1)="",NA(),3+(INDEX($B$6:$Y$23,($AC$3-1-3)*$AC$4+AJ36+1,1*$AC$5+AI36+1)-$AC$17)/$AC$19*$AC$13))</f>
        <v>3.3845800000000001</v>
      </c>
      <c r="AT36">
        <f>IF(AH36=1,NA(),IF(INDEX($B$6:$Y$23,($AC$3-1-4)*$AC$4+AJ36+1,0*$AC$5+AI36+1)="",NA(),4+(INDEX($B$6:$Y$23,($AC$3-1-4)*$AC$4+AJ36+1,0*$AC$5+AI36+1)-$AC$17)/$AC$19*$AC$13))</f>
        <v>4.4412511111111108</v>
      </c>
      <c r="AU36">
        <f>IF(AH36=1,NA(),IF(INDEX($B$6:$Y$23,($AC$3-1-4)*$AC$4+AJ36+1,1*$AC$5+AI36+1)="",NA(),4+(INDEX($B$6:$Y$23,($AC$3-1-4)*$AC$4+AJ36+1,1*$AC$5+AI36+1)-$AC$17)/$AC$19*$AC$13))</f>
        <v>4.4440755555555551</v>
      </c>
      <c r="AV36">
        <f>IF(AH36=1,NA(),IF(INDEX($B$6:$Y$23,($AC$3-1-5)*$AC$4+AJ36+1,0*$AC$5+AI36+1)="",NA(),5+(INDEX($B$6:$Y$23,($AC$3-1-5)*$AC$4+AJ36+1,0*$AC$5+AI36+1)-$AC$17)/$AC$19*$AC$13))</f>
        <v>5.5025688888888888</v>
      </c>
      <c r="AW36">
        <f>IF(AH36=1,NA(),IF(INDEX($B$6:$Y$23,($AC$3-1-5)*$AC$4+AJ36+1,1*$AC$5+AI36+1)="",NA(),5+(INDEX($B$6:$Y$23,($AC$3-1-5)*$AC$4+AJ36+1,1*$AC$5+AI36+1)-$AC$17)/$AC$19*$AC$13))</f>
        <v>5.5036622222222222</v>
      </c>
      <c r="AY36" t="str">
        <f>IF(AH36=1,"",IF(INDEX($B$6:$Y$23,($AC$3-1-0)*$AC$4+AJ36+1,0*$AC$5+AI36+1)="","",TEXT(INDEX($B$6:$Y$23,($AC$3-1-0)*$AC$4+AJ36+1,0*$AC$5+AI36+1),"#,##0")))</f>
        <v>565</v>
      </c>
      <c r="AZ36" t="str">
        <f>IF(AH36=1,"",IF(INDEX($B$6:$Y$23,($AC$3-1-0)*$AC$4+AJ36+1,1*$AC$5+AI36+1)="","",TEXT(INDEX($B$6:$Y$23,($AC$3-1-0)*$AC$4+AJ36+1,1*$AC$5+AI36+1),"#,##0")))</f>
        <v>576</v>
      </c>
      <c r="BA36" t="str">
        <f>IF(AH36=1,"",IF(INDEX($B$6:$Y$23,($AC$3-1-1)*$AC$4+AJ36+1,0*$AC$5+AI36+1)="","",TEXT(INDEX($B$6:$Y$23,($AC$3-1-1)*$AC$4+AJ36+1,0*$AC$5+AI36+1),"#,##0")))</f>
        <v>632</v>
      </c>
      <c r="BB36" t="str">
        <f>IF(AH36=1,"",IF(INDEX($B$6:$Y$23,($AC$3-1-1)*$AC$4+AJ36+1,1*$AC$5+AI36+1)="","",TEXT(INDEX($B$6:$Y$23,($AC$3-1-1)*$AC$4+AJ36+1,1*$AC$5+AI36+1),"#,##0")))</f>
        <v>641</v>
      </c>
      <c r="BC36" t="str">
        <f>IF(AH36=1,"",IF(INDEX($B$6:$Y$23,($AC$3-1-2)*$AC$4+AJ36+1,0*$AC$5+AI36+1)="","",TEXT(INDEX($B$6:$Y$23,($AC$3-1-2)*$AC$4+AJ36+1,0*$AC$5+AI36+1),"#,##0")))</f>
        <v>700</v>
      </c>
      <c r="BD36" t="str">
        <f>IF(AH36=1,"",IF(INDEX($B$6:$Y$23,($AC$3-1-2)*$AC$4+AJ36+1,1*$AC$5+AI36+1)="","",TEXT(INDEX($B$6:$Y$23,($AC$3-1-2)*$AC$4+AJ36+1,1*$AC$5+AI36+1),"#,##0")))</f>
        <v>707</v>
      </c>
      <c r="BE36" t="str">
        <f>IF(AH36=1,"",IF(INDEX($B$6:$Y$23,($AC$3-1-3)*$AC$4+AJ36+1,0*$AC$5+AI36+1)="","",TEXT(INDEX($B$6:$Y$23,($AC$3-1-3)*$AC$4+AJ36+1,0*$AC$5+AI36+1),"#,##0")))</f>
        <v>767</v>
      </c>
      <c r="BF36" t="str">
        <f>IF(AH36=1,"",IF(INDEX($B$6:$Y$23,($AC$3-1-3)*$AC$4+AJ36+1,1*$AC$5+AI36+1)="","",TEXT(INDEX($B$6:$Y$23,($AC$3-1-3)*$AC$4+AJ36+1,1*$AC$5+AI36+1),"#,##0")))</f>
        <v>772</v>
      </c>
      <c r="BG36" t="str">
        <f>IF(AH36=1,"",IF(INDEX($B$6:$Y$23,($AC$3-1-4)*$AC$4+AJ36+1,0*$AC$5+AI36+1)="","",TEXT(INDEX($B$6:$Y$23,($AC$3-1-4)*$AC$4+AJ36+1,0*$AC$5+AI36+1),"#,##0")))</f>
        <v>834</v>
      </c>
      <c r="BH36" t="str">
        <f>IF(AH36=1,"",IF(INDEX($B$6:$Y$23,($AC$3-1-4)*$AC$4+AJ36+1,1*$AC$5+AI36+1)="","",TEXT(INDEX($B$6:$Y$23,($AC$3-1-4)*$AC$4+AJ36+1,1*$AC$5+AI36+1),"#,##0")))</f>
        <v>837</v>
      </c>
      <c r="BI36" t="str">
        <f>IF(AH36=1,"",IF(INDEX($B$6:$Y$23,($AC$3-1-5)*$AC$4+AJ36+1,0*$AC$5+AI36+1)="","",TEXT(INDEX($B$6:$Y$23,($AC$3-1-5)*$AC$4+AJ36+1,0*$AC$5+AI36+1),"#,##0")))</f>
        <v>902</v>
      </c>
      <c r="BJ36" t="str">
        <f>IF(AH36=1,"",IF(INDEX($B$6:$Y$23,($AC$3-1-5)*$AC$4+AJ36+1,1*$AC$5+AI36+1)="","",TEXT(INDEX($B$6:$Y$23,($AC$3-1-5)*$AC$4+AJ36+1,1*$AC$5+AI36+1),"#,##0")))</f>
        <v>903</v>
      </c>
      <c r="BO36">
        <v>0.5</v>
      </c>
      <c r="BP36">
        <v>4.91</v>
      </c>
      <c r="BR36">
        <v>16.5</v>
      </c>
      <c r="BS36" t="e">
        <f>IF(OR($AC$17&gt;0,$AC$18&lt;0),NA(),1+$AC$20)</f>
        <v>#N/A</v>
      </c>
      <c r="BU36">
        <v>4</v>
      </c>
      <c r="BV36">
        <f>1+$AC$13+0.03</f>
        <v>1.8499999999999999</v>
      </c>
      <c r="BW36" t="str">
        <f>Dot!$A$18</f>
        <v>Business partner 13</v>
      </c>
      <c r="BY36">
        <v>3.35</v>
      </c>
      <c r="BZ36">
        <f>4+0*$AC$13</f>
        <v>4</v>
      </c>
      <c r="CA36" t="str">
        <f>TEXT($AC$17+($AC$18-$AC$17)*0,"#,##0")</f>
        <v>350</v>
      </c>
    </row>
    <row r="37" spans="28:79" x14ac:dyDescent="0.35">
      <c r="AB37">
        <v>14</v>
      </c>
      <c r="AC37">
        <f>AB37-$AC$12</f>
        <v>11</v>
      </c>
      <c r="AD37">
        <f>IF(AC37&lt;=0,-1,INT((AC37-1)/($AC$10+$AC$11)))</f>
        <v>0</v>
      </c>
      <c r="AE37">
        <f>IF(AC37&lt;=0,-1,MOD(AC37-1,($AC$10+$AC$11)))</f>
        <v>10</v>
      </c>
      <c r="AF37">
        <f>IF(OR(AE37&lt;0,AE37&gt;=$AC$10),-1,INT(AE37/$AC$9))</f>
        <v>10</v>
      </c>
      <c r="AG37">
        <f>IF(OR(AE37&lt;0,AE37&gt;=$AC$10),-1,MOD(AE37,$AC$9))</f>
        <v>0</v>
      </c>
      <c r="AH37">
        <f>IF(OR(AC37&lt;=0,AE37&lt;0,AE37&gt;=$AC$10,AD37&gt;=$AC$7),1,0)</f>
        <v>0</v>
      </c>
      <c r="AI37">
        <f>IF(AH37=1,-1,AF37)</f>
        <v>10</v>
      </c>
      <c r="AJ37">
        <f>IF(AH37=1,-1,AD37)</f>
        <v>0</v>
      </c>
      <c r="AK37" t="str">
        <f>IF(AH37=1,"",IF(AND(MOD(AI37,3)=0,AG37=INT(($AC$9-1)/2)),INDEX($B$5:$M$5,AI37+1),""))</f>
        <v/>
      </c>
      <c r="AL37">
        <f>IF(AH37=1,NA(),IF(INDEX($B$6:$Y$23,($AC$3-1-0)*$AC$4+AJ37+1,0*$AC$5+AI37+1)="",NA(),0+(INDEX($B$6:$Y$23,($AC$3-1-0)*$AC$4+AJ37+1,0*$AC$5+AI37+1)-$AC$17)/$AC$19*$AC$13))</f>
        <v>0.26194444444444442</v>
      </c>
      <c r="AM37">
        <f>IF(AH37=1,NA(),IF(INDEX($B$6:$Y$23,($AC$3-1-0)*$AC$4+AJ37+1,1*$AC$5+AI37+1)="",NA(),0+(INDEX($B$6:$Y$23,($AC$3-1-0)*$AC$4+AJ37+1,1*$AC$5+AI37+1)-$AC$17)/$AC$19*$AC$13))</f>
        <v>0.24454222222222222</v>
      </c>
      <c r="AN37">
        <f>IF(AH37=1,NA(),IF(INDEX($B$6:$Y$23,($AC$3-1-1)*$AC$4+AJ37+1,0*$AC$5+AI37+1)="",NA(),1+(INDEX($B$6:$Y$23,($AC$3-1-1)*$AC$4+AJ37+1,0*$AC$5+AI37+1)-$AC$17)/$AC$19*$AC$13))</f>
        <v>1.3245377777777778</v>
      </c>
      <c r="AO37">
        <f>IF(AH37=1,NA(),IF(INDEX($B$6:$Y$23,($AC$3-1-1)*$AC$4+AJ37+1,1*$AC$5+AI37+1)="",NA(),1+(INDEX($B$6:$Y$23,($AC$3-1-1)*$AC$4+AJ37+1,1*$AC$5+AI37+1)-$AC$17)/$AC$19*$AC$13))</f>
        <v>1.3053133333333333</v>
      </c>
      <c r="AP37">
        <f>IF(AH37=1,NA(),IF(INDEX($B$6:$Y$23,($AC$3-1-2)*$AC$4+AJ37+1,0*$AC$5+AI37+1)="",NA(),2+(INDEX($B$6:$Y$23,($AC$3-1-2)*$AC$4+AJ37+1,0*$AC$5+AI37+1)-$AC$17)/$AC$19*$AC$13))</f>
        <v>2.3872222222222224</v>
      </c>
      <c r="AQ37">
        <f>IF(AH37=1,NA(),IF(INDEX($B$6:$Y$23,($AC$3-1-2)*$AC$4+AJ37+1,1*$AC$5+AI37+1)="",NA(),2+(INDEX($B$6:$Y$23,($AC$3-1-2)*$AC$4+AJ37+1,1*$AC$5+AI37+1)-$AC$17)/$AC$19*$AC$13))</f>
        <v>2.3660844444444442</v>
      </c>
      <c r="AR37">
        <f>IF(AH37=1,NA(),IF(INDEX($B$6:$Y$23,($AC$3-1-3)*$AC$4+AJ37+1,0*$AC$5+AI37+1)="",NA(),3+(INDEX($B$6:$Y$23,($AC$3-1-3)*$AC$4+AJ37+1,0*$AC$5+AI37+1)-$AC$17)/$AC$19*$AC$13))</f>
        <v>3.4499066666666667</v>
      </c>
      <c r="AS37">
        <f>IF(AH37=1,NA(),IF(INDEX($B$6:$Y$23,($AC$3-1-3)*$AC$4+AJ37+1,1*$AC$5+AI37+1)="",NA(),3+(INDEX($B$6:$Y$23,($AC$3-1-3)*$AC$4+AJ37+1,1*$AC$5+AI37+1)-$AC$17)/$AC$19*$AC$13))</f>
        <v>3.4267644444444443</v>
      </c>
      <c r="AT37">
        <f>IF(AH37=1,NA(),IF(INDEX($B$6:$Y$23,($AC$3-1-4)*$AC$4+AJ37+1,0*$AC$5+AI37+1)="",NA(),4+(INDEX($B$6:$Y$23,($AC$3-1-4)*$AC$4+AJ37+1,0*$AC$5+AI37+1)-$AC$17)/$AC$19*$AC$13))</f>
        <v>4.5125000000000002</v>
      </c>
      <c r="AU37">
        <f>IF(AH37=1,NA(),IF(INDEX($B$6:$Y$23,($AC$3-1-4)*$AC$4+AJ37+1,1*$AC$5+AI37+1)="",NA(),4+(INDEX($B$6:$Y$23,($AC$3-1-4)*$AC$4+AJ37+1,1*$AC$5+AI37+1)-$AC$17)/$AC$19*$AC$13))</f>
        <v>4.4875355555555556</v>
      </c>
      <c r="AV37">
        <f>IF(AH37=1,NA(),IF(INDEX($B$6:$Y$23,($AC$3-1-5)*$AC$4+AJ37+1,0*$AC$5+AI37+1)="",NA(),5+(INDEX($B$6:$Y$23,($AC$3-1-5)*$AC$4+AJ37+1,0*$AC$5+AI37+1)-$AC$17)/$AC$19*$AC$13))</f>
        <v>5.5750933333333332</v>
      </c>
      <c r="AW37">
        <f>IF(AH37=1,NA(),IF(INDEX($B$6:$Y$23,($AC$3-1-5)*$AC$4+AJ37+1,1*$AC$5+AI37+1)="",NA(),5+(INDEX($B$6:$Y$23,($AC$3-1-5)*$AC$4+AJ37+1,1*$AC$5+AI37+1)-$AC$17)/$AC$19*$AC$13))</f>
        <v>5.5483066666666669</v>
      </c>
      <c r="AY37" t="str">
        <f>IF(AH37=1,"",IF(INDEX($B$6:$Y$23,($AC$3-1-0)*$AC$4+AJ37+1,0*$AC$5+AI37+1)="","",TEXT(INDEX($B$6:$Y$23,($AC$3-1-0)*$AC$4+AJ37+1,0*$AC$5+AI37+1),"#,##0")))</f>
        <v>638</v>
      </c>
      <c r="AZ37" t="str">
        <f>IF(AH37=1,"",IF(INDEX($B$6:$Y$23,($AC$3-1-0)*$AC$4+AJ37+1,1*$AC$5+AI37+1)="","",TEXT(INDEX($B$6:$Y$23,($AC$3-1-0)*$AC$4+AJ37+1,1*$AC$5+AI37+1),"#,##0")))</f>
        <v>618</v>
      </c>
      <c r="BA37" t="str">
        <f>IF(AH37=1,"",IF(INDEX($B$6:$Y$23,($AC$3-1-1)*$AC$4+AJ37+1,0*$AC$5+AI37+1)="","",TEXT(INDEX($B$6:$Y$23,($AC$3-1-1)*$AC$4+AJ37+1,0*$AC$5+AI37+1),"#,##0")))</f>
        <v>706</v>
      </c>
      <c r="BB37" t="str">
        <f>IF(AH37=1,"",IF(INDEX($B$6:$Y$23,($AC$3-1-1)*$AC$4+AJ37+1,1*$AC$5+AI37+1)="","",TEXT(INDEX($B$6:$Y$23,($AC$3-1-1)*$AC$4+AJ37+1,1*$AC$5+AI37+1),"#,##0")))</f>
        <v>685</v>
      </c>
      <c r="BC37" t="str">
        <f>IF(AH37=1,"",IF(INDEX($B$6:$Y$23,($AC$3-1-2)*$AC$4+AJ37+1,0*$AC$5+AI37+1)="","",TEXT(INDEX($B$6:$Y$23,($AC$3-1-2)*$AC$4+AJ37+1,0*$AC$5+AI37+1),"#,##0")))</f>
        <v>775</v>
      </c>
      <c r="BD37" t="str">
        <f>IF(AH37=1,"",IF(INDEX($B$6:$Y$23,($AC$3-1-2)*$AC$4+AJ37+1,1*$AC$5+AI37+1)="","",TEXT(INDEX($B$6:$Y$23,($AC$3-1-2)*$AC$4+AJ37+1,1*$AC$5+AI37+1),"#,##0")))</f>
        <v>752</v>
      </c>
      <c r="BE37" t="str">
        <f>IF(AH37=1,"",IF(INDEX($B$6:$Y$23,($AC$3-1-3)*$AC$4+AJ37+1,0*$AC$5+AI37+1)="","",TEXT(INDEX($B$6:$Y$23,($AC$3-1-3)*$AC$4+AJ37+1,0*$AC$5+AI37+1),"#,##0")))</f>
        <v>844</v>
      </c>
      <c r="BF37" t="str">
        <f>IF(AH37=1,"",IF(INDEX($B$6:$Y$23,($AC$3-1-3)*$AC$4+AJ37+1,1*$AC$5+AI37+1)="","",TEXT(INDEX($B$6:$Y$23,($AC$3-1-3)*$AC$4+AJ37+1,1*$AC$5+AI37+1),"#,##0")))</f>
        <v>818</v>
      </c>
      <c r="BG37" t="str">
        <f>IF(AH37=1,"",IF(INDEX($B$6:$Y$23,($AC$3-1-4)*$AC$4+AJ37+1,0*$AC$5+AI37+1)="","",TEXT(INDEX($B$6:$Y$23,($AC$3-1-4)*$AC$4+AJ37+1,0*$AC$5+AI37+1),"#,##0")))</f>
        <v>913</v>
      </c>
      <c r="BH37" t="str">
        <f>IF(AH37=1,"",IF(INDEX($B$6:$Y$23,($AC$3-1-4)*$AC$4+AJ37+1,1*$AC$5+AI37+1)="","",TEXT(INDEX($B$6:$Y$23,($AC$3-1-4)*$AC$4+AJ37+1,1*$AC$5+AI37+1),"#,##0")))</f>
        <v>885</v>
      </c>
      <c r="BI37" t="str">
        <f>IF(AH37=1,"",IF(INDEX($B$6:$Y$23,($AC$3-1-5)*$AC$4+AJ37+1,0*$AC$5+AI37+1)="","",TEXT(INDEX($B$6:$Y$23,($AC$3-1-5)*$AC$4+AJ37+1,0*$AC$5+AI37+1),"#,##0")))</f>
        <v>981</v>
      </c>
      <c r="BJ37" t="str">
        <f>IF(AH37=1,"",IF(INDEX($B$6:$Y$23,($AC$3-1-5)*$AC$4+AJ37+1,1*$AC$5+AI37+1)="","",TEXT(INDEX($B$6:$Y$23,($AC$3-1-5)*$AC$4+AJ37+1,1*$AC$5+AI37+1),"#,##0")))</f>
        <v>952</v>
      </c>
      <c r="BO37">
        <v>41.5</v>
      </c>
      <c r="BP37">
        <v>4.91</v>
      </c>
      <c r="BR37">
        <v>28.5</v>
      </c>
      <c r="BS37" t="e">
        <f>IF(OR($AC$17&gt;0,$AC$18&lt;0),NA(),1+$AC$20)</f>
        <v>#N/A</v>
      </c>
      <c r="BU37">
        <v>17</v>
      </c>
      <c r="BV37">
        <f>1+$AC$13+0.03</f>
        <v>1.8499999999999999</v>
      </c>
      <c r="BW37" t="str">
        <f>Dot!$A$19</f>
        <v>Business partner 14</v>
      </c>
      <c r="BY37">
        <v>3.35</v>
      </c>
      <c r="BZ37">
        <f>4+0.5*$AC$13</f>
        <v>4.41</v>
      </c>
      <c r="CA37" t="str">
        <f>TEXT($AC$17+($AC$18-$AC$17)*0.5,"#,##0")</f>
        <v>800</v>
      </c>
    </row>
    <row r="38" spans="28:79" x14ac:dyDescent="0.35">
      <c r="AB38">
        <v>15</v>
      </c>
      <c r="AC38">
        <f>AB38-$AC$12</f>
        <v>12</v>
      </c>
      <c r="AD38">
        <f>IF(AC38&lt;=0,-1,INT((AC38-1)/($AC$10+$AC$11)))</f>
        <v>0</v>
      </c>
      <c r="AE38">
        <f>IF(AC38&lt;=0,-1,MOD(AC38-1,($AC$10+$AC$11)))</f>
        <v>11</v>
      </c>
      <c r="AF38">
        <f>IF(OR(AE38&lt;0,AE38&gt;=$AC$10),-1,INT(AE38/$AC$9))</f>
        <v>11</v>
      </c>
      <c r="AG38">
        <f>IF(OR(AE38&lt;0,AE38&gt;=$AC$10),-1,MOD(AE38,$AC$9))</f>
        <v>0</v>
      </c>
      <c r="AH38">
        <f>IF(OR(AC38&lt;=0,AE38&lt;0,AE38&gt;=$AC$10,AD38&gt;=$AC$7),1,0)</f>
        <v>0</v>
      </c>
      <c r="AI38">
        <f>IF(AH38=1,-1,AF38)</f>
        <v>11</v>
      </c>
      <c r="AJ38">
        <f>IF(AH38=1,-1,AD38)</f>
        <v>0</v>
      </c>
      <c r="AK38" t="str">
        <f>IF(AH38=1,"",IF(AND(MOD(AI38,3)=0,AG38=INT(($AC$9-1)/2)),INDEX($B$5:$M$5,AI38+1),""))</f>
        <v/>
      </c>
      <c r="AL38">
        <f>IF(AH38=1,NA(),IF(INDEX($B$6:$Y$23,($AC$3-1-0)*$AC$4+AJ38+1,0*$AC$5+AI38+1)="",NA(),0+(INDEX($B$6:$Y$23,($AC$3-1-0)*$AC$4+AJ38+1,0*$AC$5+AI38+1)-$AC$17)/$AC$19*$AC$13))</f>
        <v>0.32818222222222221</v>
      </c>
      <c r="AM38">
        <f>IF(AH38=1,NA(),IF(INDEX($B$6:$Y$23,($AC$3-1-0)*$AC$4+AJ38+1,1*$AC$5+AI38+1)="",NA(),0+(INDEX($B$6:$Y$23,($AC$3-1-0)*$AC$4+AJ38+1,1*$AC$5+AI38+1)-$AC$17)/$AC$19*$AC$13))</f>
        <v>0.28308222222222224</v>
      </c>
      <c r="AN38">
        <f>IF(AH38=1,NA(),IF(INDEX($B$6:$Y$23,($AC$3-1-1)*$AC$4+AJ38+1,0*$AC$5+AI38+1)="",NA(),1+(INDEX($B$6:$Y$23,($AC$3-1-1)*$AC$4+AJ38+1,0*$AC$5+AI38+1)-$AC$17)/$AC$19*$AC$13))</f>
        <v>1.3921422222222222</v>
      </c>
      <c r="AO38">
        <f>IF(AH38=1,NA(),IF(INDEX($B$6:$Y$23,($AC$3-1-1)*$AC$4+AJ38+1,1*$AC$5+AI38+1)="",NA(),1+(INDEX($B$6:$Y$23,($AC$3-1-1)*$AC$4+AJ38+1,1*$AC$5+AI38+1)-$AC$17)/$AC$19*$AC$13))</f>
        <v>1.3451288888888888</v>
      </c>
      <c r="AP38">
        <f>IF(AH38=1,NA(),IF(INDEX($B$6:$Y$23,($AC$3-1-2)*$AC$4+AJ38+1,0*$AC$5+AI38+1)="",NA(),2+(INDEX($B$6:$Y$23,($AC$3-1-2)*$AC$4+AJ38+1,0*$AC$5+AI38+1)-$AC$17)/$AC$19*$AC$13))</f>
        <v>2.4560111111111111</v>
      </c>
      <c r="AQ38">
        <f>IF(AH38=1,NA(),IF(INDEX($B$6:$Y$23,($AC$3-1-2)*$AC$4+AJ38+1,1*$AC$5+AI38+1)="",NA(),2+(INDEX($B$6:$Y$23,($AC$3-1-2)*$AC$4+AJ38+1,1*$AC$5+AI38+1)-$AC$17)/$AC$19*$AC$13))</f>
        <v>2.4070844444444446</v>
      </c>
      <c r="AR38">
        <f>IF(AH38=1,NA(),IF(INDEX($B$6:$Y$23,($AC$3-1-3)*$AC$4+AJ38+1,0*$AC$5+AI38+1)="",NA(),3+(INDEX($B$6:$Y$23,($AC$3-1-3)*$AC$4+AJ38+1,0*$AC$5+AI38+1)-$AC$17)/$AC$19*$AC$13))</f>
        <v>3.5198800000000001</v>
      </c>
      <c r="AS38">
        <f>IF(AH38=1,NA(),IF(INDEX($B$6:$Y$23,($AC$3-1-3)*$AC$4+AJ38+1,1*$AC$5+AI38+1)="",NA(),3+(INDEX($B$6:$Y$23,($AC$3-1-3)*$AC$4+AJ38+1,1*$AC$5+AI38+1)-$AC$17)/$AC$19*$AC$13))</f>
        <v>3.4690400000000001</v>
      </c>
      <c r="AT38">
        <f>IF(AH38=1,NA(),IF(INDEX($B$6:$Y$23,($AC$3-1-4)*$AC$4+AJ38+1,0*$AC$5+AI38+1)="",NA(),4+(INDEX($B$6:$Y$23,($AC$3-1-4)*$AC$4+AJ38+1,0*$AC$5+AI38+1)-$AC$17)/$AC$19*$AC$13))</f>
        <v>4.5837488888888887</v>
      </c>
      <c r="AU38">
        <f>IF(AH38=1,NA(),IF(INDEX($B$6:$Y$23,($AC$3-1-4)*$AC$4+AJ38+1,1*$AC$5+AI38+1)="",NA(),4+(INDEX($B$6:$Y$23,($AC$3-1-4)*$AC$4+AJ38+1,1*$AC$5+AI38+1)-$AC$17)/$AC$19*$AC$13))</f>
        <v>4.5309955555555552</v>
      </c>
      <c r="AV38">
        <f>IF(AH38=1,NA(),IF(INDEX($B$6:$Y$23,($AC$3-1-5)*$AC$4+AJ38+1,0*$AC$5+AI38+1)="",NA(),5+(INDEX($B$6:$Y$23,($AC$3-1-5)*$AC$4+AJ38+1,0*$AC$5+AI38+1)-$AC$17)/$AC$19*$AC$13))</f>
        <v>5.6477088888888893</v>
      </c>
      <c r="AW38">
        <f>IF(AH38=1,NA(),IF(INDEX($B$6:$Y$23,($AC$3-1-5)*$AC$4+AJ38+1,1*$AC$5+AI38+1)="",NA(),5+(INDEX($B$6:$Y$23,($AC$3-1-5)*$AC$4+AJ38+1,1*$AC$5+AI38+1)-$AC$17)/$AC$19*$AC$13))</f>
        <v>5.5929511111111108</v>
      </c>
      <c r="AY38" t="str">
        <f>IF(AH38=1,"",IF(INDEX($B$6:$Y$23,($AC$3-1-0)*$AC$4+AJ38+1,0*$AC$5+AI38+1)="","",TEXT(INDEX($B$6:$Y$23,($AC$3-1-0)*$AC$4+AJ38+1,0*$AC$5+AI38+1),"#,##0")))</f>
        <v>710</v>
      </c>
      <c r="AZ38" t="str">
        <f>IF(AH38=1,"",IF(INDEX($B$6:$Y$23,($AC$3-1-0)*$AC$4+AJ38+1,1*$AC$5+AI38+1)="","",TEXT(INDEX($B$6:$Y$23,($AC$3-1-0)*$AC$4+AJ38+1,1*$AC$5+AI38+1),"#,##0")))</f>
        <v>661</v>
      </c>
      <c r="BA38" t="str">
        <f>IF(AH38=1,"",IF(INDEX($B$6:$Y$23,($AC$3-1-1)*$AC$4+AJ38+1,0*$AC$5+AI38+1)="","",TEXT(INDEX($B$6:$Y$23,($AC$3-1-1)*$AC$4+AJ38+1,0*$AC$5+AI38+1),"#,##0")))</f>
        <v>780</v>
      </c>
      <c r="BB38" t="str">
        <f>IF(AH38=1,"",IF(INDEX($B$6:$Y$23,($AC$3-1-1)*$AC$4+AJ38+1,1*$AC$5+AI38+1)="","",TEXT(INDEX($B$6:$Y$23,($AC$3-1-1)*$AC$4+AJ38+1,1*$AC$5+AI38+1),"#,##0")))</f>
        <v>729</v>
      </c>
      <c r="BC38" t="str">
        <f>IF(AH38=1,"",IF(INDEX($B$6:$Y$23,($AC$3-1-2)*$AC$4+AJ38+1,0*$AC$5+AI38+1)="","",TEXT(INDEX($B$6:$Y$23,($AC$3-1-2)*$AC$4+AJ38+1,0*$AC$5+AI38+1),"#,##0")))</f>
        <v>851</v>
      </c>
      <c r="BD38" t="str">
        <f>IF(AH38=1,"",IF(INDEX($B$6:$Y$23,($AC$3-1-2)*$AC$4+AJ38+1,1*$AC$5+AI38+1)="","",TEXT(INDEX($B$6:$Y$23,($AC$3-1-2)*$AC$4+AJ38+1,1*$AC$5+AI38+1),"#,##0")))</f>
        <v>797</v>
      </c>
      <c r="BE38" t="str">
        <f>IF(AH38=1,"",IF(INDEX($B$6:$Y$23,($AC$3-1-3)*$AC$4+AJ38+1,0*$AC$5+AI38+1)="","",TEXT(INDEX($B$6:$Y$23,($AC$3-1-3)*$AC$4+AJ38+1,0*$AC$5+AI38+1),"#,##0")))</f>
        <v>921</v>
      </c>
      <c r="BF38" t="str">
        <f>IF(AH38=1,"",IF(INDEX($B$6:$Y$23,($AC$3-1-3)*$AC$4+AJ38+1,1*$AC$5+AI38+1)="","",TEXT(INDEX($B$6:$Y$23,($AC$3-1-3)*$AC$4+AJ38+1,1*$AC$5+AI38+1),"#,##0")))</f>
        <v>865</v>
      </c>
      <c r="BG38" t="str">
        <f>IF(AH38=1,"",IF(INDEX($B$6:$Y$23,($AC$3-1-4)*$AC$4+AJ38+1,0*$AC$5+AI38+1)="","",TEXT(INDEX($B$6:$Y$23,($AC$3-1-4)*$AC$4+AJ38+1,0*$AC$5+AI38+1),"#,##0")))</f>
        <v>991</v>
      </c>
      <c r="BH38" t="str">
        <f>IF(AH38=1,"",IF(INDEX($B$6:$Y$23,($AC$3-1-4)*$AC$4+AJ38+1,1*$AC$5+AI38+1)="","",TEXT(INDEX($B$6:$Y$23,($AC$3-1-4)*$AC$4+AJ38+1,1*$AC$5+AI38+1),"#,##0")))</f>
        <v>933</v>
      </c>
      <c r="BI38" t="str">
        <f>IF(AH38=1,"",IF(INDEX($B$6:$Y$23,($AC$3-1-5)*$AC$4+AJ38+1,0*$AC$5+AI38+1)="","",TEXT(INDEX($B$6:$Y$23,($AC$3-1-5)*$AC$4+AJ38+1,0*$AC$5+AI38+1),"#,##0")))</f>
        <v>1,061</v>
      </c>
      <c r="BJ38" t="str">
        <f>IF(AH38=1,"",IF(INDEX($B$6:$Y$23,($AC$3-1-5)*$AC$4+AJ38+1,1*$AC$5+AI38+1)="","",TEXT(INDEX($B$6:$Y$23,($AC$3-1-5)*$AC$4+AJ38+1,1*$AC$5+AI38+1),"#,##0")))</f>
        <v>1,001</v>
      </c>
      <c r="BO38">
        <v>41.5</v>
      </c>
      <c r="BP38" t="e">
        <f>NA()</f>
        <v>#N/A</v>
      </c>
      <c r="BR38">
        <v>28.5</v>
      </c>
      <c r="BS38" t="e">
        <f>NA()</f>
        <v>#N/A</v>
      </c>
      <c r="BU38">
        <v>30</v>
      </c>
      <c r="BV38">
        <f>1+$AC$13+0.03</f>
        <v>1.8499999999999999</v>
      </c>
      <c r="BW38" t="str">
        <f>Dot!$A$20</f>
        <v>Business partner 15</v>
      </c>
      <c r="BY38">
        <v>3.35</v>
      </c>
      <c r="BZ38">
        <f>4+1*$AC$13</f>
        <v>4.82</v>
      </c>
      <c r="CA38" t="str">
        <f>TEXT($AC$17+($AC$18-$AC$17)*1,"#,##0")</f>
        <v>1,250</v>
      </c>
    </row>
    <row r="39" spans="28:79" x14ac:dyDescent="0.35">
      <c r="AB39">
        <v>16</v>
      </c>
      <c r="AC39">
        <f>AB39-$AC$12</f>
        <v>13</v>
      </c>
      <c r="AD39">
        <f>IF(AC39&lt;=0,-1,INT((AC39-1)/($AC$10+$AC$11)))</f>
        <v>0</v>
      </c>
      <c r="AE39">
        <f>IF(AC39&lt;=0,-1,MOD(AC39-1,($AC$10+$AC$11)))</f>
        <v>12</v>
      </c>
      <c r="AF39">
        <f>IF(OR(AE39&lt;0,AE39&gt;=$AC$10),-1,INT(AE39/$AC$9))</f>
        <v>-1</v>
      </c>
      <c r="AG39">
        <f>IF(OR(AE39&lt;0,AE39&gt;=$AC$10),-1,MOD(AE39,$AC$9))</f>
        <v>-1</v>
      </c>
      <c r="AH39">
        <f>IF(OR(AC39&lt;=0,AE39&lt;0,AE39&gt;=$AC$10,AD39&gt;=$AC$7),1,0)</f>
        <v>1</v>
      </c>
      <c r="AI39">
        <f>IF(AH39=1,-1,AF39)</f>
        <v>-1</v>
      </c>
      <c r="AJ39">
        <f>IF(AH39=1,-1,AD39)</f>
        <v>-1</v>
      </c>
      <c r="AK39" t="str">
        <f>IF(AH39=1,"",IF(AND(MOD(AI39,3)=0,AG39=INT(($AC$9-1)/2)),INDEX($B$5:$M$5,AI39+1),""))</f>
        <v/>
      </c>
      <c r="AL39" t="e">
        <f>IF(AH39=1,NA(),IF(INDEX($B$6:$Y$23,($AC$3-1-0)*$AC$4+AJ39+1,0*$AC$5+AI39+1)="",NA(),0+(INDEX($B$6:$Y$23,($AC$3-1-0)*$AC$4+AJ39+1,0*$AC$5+AI39+1)-$AC$17)/$AC$19*$AC$13))</f>
        <v>#N/A</v>
      </c>
      <c r="AM39" t="e">
        <f>IF(AH39=1,NA(),IF(INDEX($B$6:$Y$23,($AC$3-1-0)*$AC$4+AJ39+1,1*$AC$5+AI39+1)="",NA(),0+(INDEX($B$6:$Y$23,($AC$3-1-0)*$AC$4+AJ39+1,1*$AC$5+AI39+1)-$AC$17)/$AC$19*$AC$13))</f>
        <v>#N/A</v>
      </c>
      <c r="AN39" t="e">
        <f>IF(AH39=1,NA(),IF(INDEX($B$6:$Y$23,($AC$3-1-1)*$AC$4+AJ39+1,0*$AC$5+AI39+1)="",NA(),1+(INDEX($B$6:$Y$23,($AC$3-1-1)*$AC$4+AJ39+1,0*$AC$5+AI39+1)-$AC$17)/$AC$19*$AC$13))</f>
        <v>#N/A</v>
      </c>
      <c r="AO39" t="e">
        <f>IF(AH39=1,NA(),IF(INDEX($B$6:$Y$23,($AC$3-1-1)*$AC$4+AJ39+1,1*$AC$5+AI39+1)="",NA(),1+(INDEX($B$6:$Y$23,($AC$3-1-1)*$AC$4+AJ39+1,1*$AC$5+AI39+1)-$AC$17)/$AC$19*$AC$13))</f>
        <v>#N/A</v>
      </c>
      <c r="AP39" t="e">
        <f>IF(AH39=1,NA(),IF(INDEX($B$6:$Y$23,($AC$3-1-2)*$AC$4+AJ39+1,0*$AC$5+AI39+1)="",NA(),2+(INDEX($B$6:$Y$23,($AC$3-1-2)*$AC$4+AJ39+1,0*$AC$5+AI39+1)-$AC$17)/$AC$19*$AC$13))</f>
        <v>#N/A</v>
      </c>
      <c r="AQ39" t="e">
        <f>IF(AH39=1,NA(),IF(INDEX($B$6:$Y$23,($AC$3-1-2)*$AC$4+AJ39+1,1*$AC$5+AI39+1)="",NA(),2+(INDEX($B$6:$Y$23,($AC$3-1-2)*$AC$4+AJ39+1,1*$AC$5+AI39+1)-$AC$17)/$AC$19*$AC$13))</f>
        <v>#N/A</v>
      </c>
      <c r="AR39" t="e">
        <f>IF(AH39=1,NA(),IF(INDEX($B$6:$Y$23,($AC$3-1-3)*$AC$4+AJ39+1,0*$AC$5+AI39+1)="",NA(),3+(INDEX($B$6:$Y$23,($AC$3-1-3)*$AC$4+AJ39+1,0*$AC$5+AI39+1)-$AC$17)/$AC$19*$AC$13))</f>
        <v>#N/A</v>
      </c>
      <c r="AS39" t="e">
        <f>IF(AH39=1,NA(),IF(INDEX($B$6:$Y$23,($AC$3-1-3)*$AC$4+AJ39+1,1*$AC$5+AI39+1)="",NA(),3+(INDEX($B$6:$Y$23,($AC$3-1-3)*$AC$4+AJ39+1,1*$AC$5+AI39+1)-$AC$17)/$AC$19*$AC$13))</f>
        <v>#N/A</v>
      </c>
      <c r="AT39" t="e">
        <f>IF(AH39=1,NA(),IF(INDEX($B$6:$Y$23,($AC$3-1-4)*$AC$4+AJ39+1,0*$AC$5+AI39+1)="",NA(),4+(INDEX($B$6:$Y$23,($AC$3-1-4)*$AC$4+AJ39+1,0*$AC$5+AI39+1)-$AC$17)/$AC$19*$AC$13))</f>
        <v>#N/A</v>
      </c>
      <c r="AU39" t="e">
        <f>IF(AH39=1,NA(),IF(INDEX($B$6:$Y$23,($AC$3-1-4)*$AC$4+AJ39+1,1*$AC$5+AI39+1)="",NA(),4+(INDEX($B$6:$Y$23,($AC$3-1-4)*$AC$4+AJ39+1,1*$AC$5+AI39+1)-$AC$17)/$AC$19*$AC$13))</f>
        <v>#N/A</v>
      </c>
      <c r="AV39" t="e">
        <f>IF(AH39=1,NA(),IF(INDEX($B$6:$Y$23,($AC$3-1-5)*$AC$4+AJ39+1,0*$AC$5+AI39+1)="",NA(),5+(INDEX($B$6:$Y$23,($AC$3-1-5)*$AC$4+AJ39+1,0*$AC$5+AI39+1)-$AC$17)/$AC$19*$AC$13))</f>
        <v>#N/A</v>
      </c>
      <c r="AW39" t="e">
        <f>IF(AH39=1,NA(),IF(INDEX($B$6:$Y$23,($AC$3-1-5)*$AC$4+AJ39+1,1*$AC$5+AI39+1)="",NA(),5+(INDEX($B$6:$Y$23,($AC$3-1-5)*$AC$4+AJ39+1,1*$AC$5+AI39+1)-$AC$17)/$AC$19*$AC$13))</f>
        <v>#N/A</v>
      </c>
      <c r="AY39" t="str">
        <f>IF(AH39=1,"",IF(INDEX($B$6:$Y$23,($AC$3-1-0)*$AC$4+AJ39+1,0*$AC$5+AI39+1)="","",TEXT(INDEX($B$6:$Y$23,($AC$3-1-0)*$AC$4+AJ39+1,0*$AC$5+AI39+1),"#,##0")))</f>
        <v/>
      </c>
      <c r="AZ39" t="str">
        <f>IF(AH39=1,"",IF(INDEX($B$6:$Y$23,($AC$3-1-0)*$AC$4+AJ39+1,1*$AC$5+AI39+1)="","",TEXT(INDEX($B$6:$Y$23,($AC$3-1-0)*$AC$4+AJ39+1,1*$AC$5+AI39+1),"#,##0")))</f>
        <v/>
      </c>
      <c r="BA39" t="str">
        <f>IF(AH39=1,"",IF(INDEX($B$6:$Y$23,($AC$3-1-1)*$AC$4+AJ39+1,0*$AC$5+AI39+1)="","",TEXT(INDEX($B$6:$Y$23,($AC$3-1-1)*$AC$4+AJ39+1,0*$AC$5+AI39+1),"#,##0")))</f>
        <v/>
      </c>
      <c r="BB39" t="str">
        <f>IF(AH39=1,"",IF(INDEX($B$6:$Y$23,($AC$3-1-1)*$AC$4+AJ39+1,1*$AC$5+AI39+1)="","",TEXT(INDEX($B$6:$Y$23,($AC$3-1-1)*$AC$4+AJ39+1,1*$AC$5+AI39+1),"#,##0")))</f>
        <v/>
      </c>
      <c r="BC39" t="str">
        <f>IF(AH39=1,"",IF(INDEX($B$6:$Y$23,($AC$3-1-2)*$AC$4+AJ39+1,0*$AC$5+AI39+1)="","",TEXT(INDEX($B$6:$Y$23,($AC$3-1-2)*$AC$4+AJ39+1,0*$AC$5+AI39+1),"#,##0")))</f>
        <v/>
      </c>
      <c r="BD39" t="str">
        <f>IF(AH39=1,"",IF(INDEX($B$6:$Y$23,($AC$3-1-2)*$AC$4+AJ39+1,1*$AC$5+AI39+1)="","",TEXT(INDEX($B$6:$Y$23,($AC$3-1-2)*$AC$4+AJ39+1,1*$AC$5+AI39+1),"#,##0")))</f>
        <v/>
      </c>
      <c r="BE39" t="str">
        <f>IF(AH39=1,"",IF(INDEX($B$6:$Y$23,($AC$3-1-3)*$AC$4+AJ39+1,0*$AC$5+AI39+1)="","",TEXT(INDEX($B$6:$Y$23,($AC$3-1-3)*$AC$4+AJ39+1,0*$AC$5+AI39+1),"#,##0")))</f>
        <v/>
      </c>
      <c r="BF39" t="str">
        <f>IF(AH39=1,"",IF(INDEX($B$6:$Y$23,($AC$3-1-3)*$AC$4+AJ39+1,1*$AC$5+AI39+1)="","",TEXT(INDEX($B$6:$Y$23,($AC$3-1-3)*$AC$4+AJ39+1,1*$AC$5+AI39+1),"#,##0")))</f>
        <v/>
      </c>
      <c r="BG39" t="str">
        <f>IF(AH39=1,"",IF(INDEX($B$6:$Y$23,($AC$3-1-4)*$AC$4+AJ39+1,0*$AC$5+AI39+1)="","",TEXT(INDEX($B$6:$Y$23,($AC$3-1-4)*$AC$4+AJ39+1,0*$AC$5+AI39+1),"#,##0")))</f>
        <v/>
      </c>
      <c r="BH39" t="str">
        <f>IF(AH39=1,"",IF(INDEX($B$6:$Y$23,($AC$3-1-4)*$AC$4+AJ39+1,1*$AC$5+AI39+1)="","",TEXT(INDEX($B$6:$Y$23,($AC$3-1-4)*$AC$4+AJ39+1,1*$AC$5+AI39+1),"#,##0")))</f>
        <v/>
      </c>
      <c r="BI39" t="str">
        <f>IF(AH39=1,"",IF(INDEX($B$6:$Y$23,($AC$3-1-5)*$AC$4+AJ39+1,0*$AC$5+AI39+1)="","",TEXT(INDEX($B$6:$Y$23,($AC$3-1-5)*$AC$4+AJ39+1,0*$AC$5+AI39+1),"#,##0")))</f>
        <v/>
      </c>
      <c r="BJ39" t="str">
        <f>IF(AH39=1,"",IF(INDEX($B$6:$Y$23,($AC$3-1-5)*$AC$4+AJ39+1,1*$AC$5+AI39+1)="","",TEXT(INDEX($B$6:$Y$23,($AC$3-1-5)*$AC$4+AJ39+1,1*$AC$5+AI39+1),"#,##0")))</f>
        <v/>
      </c>
      <c r="BR39">
        <v>29.5</v>
      </c>
      <c r="BS39" t="e">
        <f>IF(OR($AC$17&gt;0,$AC$18&lt;0),NA(),1+$AC$20)</f>
        <v>#N/A</v>
      </c>
      <c r="BU39">
        <v>4</v>
      </c>
      <c r="BV39">
        <f>0+$AC$13+0.03</f>
        <v>0.85</v>
      </c>
      <c r="BW39" t="str">
        <f>Dot!$A$21</f>
        <v>Business partner 16</v>
      </c>
      <c r="BY39">
        <v>3.35</v>
      </c>
      <c r="BZ39">
        <f>5+0*$AC$13</f>
        <v>5</v>
      </c>
      <c r="CA39" t="str">
        <f>TEXT($AC$17+($AC$18-$AC$17)*0,"#,##0")</f>
        <v>350</v>
      </c>
    </row>
    <row r="40" spans="28:79" x14ac:dyDescent="0.35">
      <c r="AB40">
        <v>17</v>
      </c>
      <c r="AC40">
        <f>AB40-$AC$12</f>
        <v>14</v>
      </c>
      <c r="AD40">
        <f>IF(AC40&lt;=0,-1,INT((AC40-1)/($AC$10+$AC$11)))</f>
        <v>1</v>
      </c>
      <c r="AE40">
        <f>IF(AC40&lt;=0,-1,MOD(AC40-1,($AC$10+$AC$11)))</f>
        <v>0</v>
      </c>
      <c r="AF40">
        <f>IF(OR(AE40&lt;0,AE40&gt;=$AC$10),-1,INT(AE40/$AC$9))</f>
        <v>0</v>
      </c>
      <c r="AG40">
        <f>IF(OR(AE40&lt;0,AE40&gt;=$AC$10),-1,MOD(AE40,$AC$9))</f>
        <v>0</v>
      </c>
      <c r="AH40">
        <f>IF(OR(AC40&lt;=0,AE40&lt;0,AE40&gt;=$AC$10,AD40&gt;=$AC$7),1,0)</f>
        <v>0</v>
      </c>
      <c r="AI40">
        <f>IF(AH40=1,-1,AF40)</f>
        <v>0</v>
      </c>
      <c r="AJ40">
        <f>IF(AH40=1,-1,AD40)</f>
        <v>1</v>
      </c>
      <c r="AK40" t="str">
        <f>IF(AH40=1,"",IF(AND(MOD(AI40,3)=0,AG40=INT(($AC$9-1)/2)),INDEX($B$5:$M$5,AI40+1),""))</f>
        <v>Jan</v>
      </c>
      <c r="AL40">
        <f>IF(AH40=1,NA(),IF(INDEX($B$6:$Y$23,($AC$3-1-0)*$AC$4+AJ40+1,0*$AC$5+AI40+1)="",NA(),0+(INDEX($B$6:$Y$23,($AC$3-1-0)*$AC$4+AJ40+1,0*$AC$5+AI40+1)-$AC$17)/$AC$19*$AC$13))</f>
        <v>0.49655555555555547</v>
      </c>
      <c r="AM40">
        <f>IF(AH40=1,NA(),IF(INDEX($B$6:$Y$23,($AC$3-1-0)*$AC$4+AJ40+1,1*$AC$5+AI40+1)="",NA(),0+(INDEX($B$6:$Y$23,($AC$3-1-0)*$AC$4+AJ40+1,1*$AC$5+AI40+1)-$AC$17)/$AC$19*$AC$13))</f>
        <v>0.47204666666666661</v>
      </c>
      <c r="AN40">
        <f>IF(AH40=1,NA(),IF(INDEX($B$6:$Y$23,($AC$3-1-1)*$AC$4+AJ40+1,0*$AC$5+AI40+1)="",NA(),1+(INDEX($B$6:$Y$23,($AC$3-1-1)*$AC$4+AJ40+1,0*$AC$5+AI40+1)-$AC$17)/$AC$19*$AC$13))</f>
        <v>1.5466666666666666</v>
      </c>
      <c r="AO40">
        <f>IF(AH40=1,NA(),IF(INDEX($B$6:$Y$23,($AC$3-1-1)*$AC$4+AJ40+1,1*$AC$5+AI40+1)="",NA(),1+(INDEX($B$6:$Y$23,($AC$3-1-1)*$AC$4+AJ40+1,1*$AC$5+AI40+1)-$AC$17)/$AC$19*$AC$13))</f>
        <v>1.5206999999999999</v>
      </c>
      <c r="AP40">
        <f>IF(AH40=1,NA(),IF(INDEX($B$6:$Y$23,($AC$3-1-2)*$AC$4+AJ40+1,0*$AC$5+AI40+1)="",NA(),2+(INDEX($B$6:$Y$23,($AC$3-1-2)*$AC$4+AJ40+1,0*$AC$5+AI40+1)-$AC$17)/$AC$19*$AC$13))</f>
        <v>2.0455555555555556</v>
      </c>
      <c r="AQ40">
        <f>IF(AH40=1,NA(),IF(INDEX($B$6:$Y$23,($AC$3-1-2)*$AC$4+AJ40+1,1*$AC$5+AI40+1)="",NA(),2+(INDEX($B$6:$Y$23,($AC$3-1-2)*$AC$4+AJ40+1,1*$AC$5+AI40+1)-$AC$17)/$AC$19*$AC$13))</f>
        <v>2.0346222222222221</v>
      </c>
      <c r="AR40">
        <f>IF(AH40=1,NA(),IF(INDEX($B$6:$Y$23,($AC$3-1-3)*$AC$4+AJ40+1,0*$AC$5+AI40+1)="",NA(),3+(INDEX($B$6:$Y$23,($AC$3-1-3)*$AC$4+AJ40+1,0*$AC$5+AI40+1)-$AC$17)/$AC$19*$AC$13))</f>
        <v>3.0956666666666668</v>
      </c>
      <c r="AS40">
        <f>IF(AH40=1,NA(),IF(INDEX($B$6:$Y$23,($AC$3-1-3)*$AC$4+AJ40+1,1*$AC$5+AI40+1)="",NA(),3+(INDEX($B$6:$Y$23,($AC$3-1-3)*$AC$4+AJ40+1,1*$AC$5+AI40+1)-$AC$17)/$AC$19*$AC$13))</f>
        <v>3.0831844444444445</v>
      </c>
      <c r="AT40">
        <f>IF(AH40=1,NA(),IF(INDEX($B$6:$Y$23,($AC$3-1-4)*$AC$4+AJ40+1,0*$AC$5+AI40+1)="",NA(),4+(INDEX($B$6:$Y$23,($AC$3-1-4)*$AC$4+AJ40+1,0*$AC$5+AI40+1)-$AC$17)/$AC$19*$AC$13))</f>
        <v>4.145777777777778</v>
      </c>
      <c r="AU40">
        <f>IF(AH40=1,NA(),IF(INDEX($B$6:$Y$23,($AC$3-1-4)*$AC$4+AJ40+1,1*$AC$5+AI40+1)="",NA(),4+(INDEX($B$6:$Y$23,($AC$3-1-4)*$AC$4+AJ40+1,1*$AC$5+AI40+1)-$AC$17)/$AC$19*$AC$13))</f>
        <v>4.1318377777777782</v>
      </c>
      <c r="AV40">
        <f>IF(AH40=1,NA(),IF(INDEX($B$6:$Y$23,($AC$3-1-5)*$AC$4+AJ40+1,0*$AC$5+AI40+1)="",NA(),5+(INDEX($B$6:$Y$23,($AC$3-1-5)*$AC$4+AJ40+1,0*$AC$5+AI40+1)-$AC$17)/$AC$19*$AC$13))</f>
        <v>5.1958888888888888</v>
      </c>
      <c r="AW40">
        <f>IF(AH40=1,NA(),IF(INDEX($B$6:$Y$23,($AC$3-1-5)*$AC$4+AJ40+1,1*$AC$5+AI40+1)="",NA(),5+(INDEX($B$6:$Y$23,($AC$3-1-5)*$AC$4+AJ40+1,1*$AC$5+AI40+1)-$AC$17)/$AC$19*$AC$13))</f>
        <v>5.1803999999999997</v>
      </c>
      <c r="AY40" t="str">
        <f>IF(AH40=1,"",IF(INDEX($B$6:$Y$23,($AC$3-1-0)*$AC$4+AJ40+1,0*$AC$5+AI40+1)="","",TEXT(INDEX($B$6:$Y$23,($AC$3-1-0)*$AC$4+AJ40+1,0*$AC$5+AI40+1),"#,##0")))</f>
        <v>895</v>
      </c>
      <c r="AZ40" t="str">
        <f>IF(AH40=1,"",IF(INDEX($B$6:$Y$23,($AC$3-1-0)*$AC$4+AJ40+1,1*$AC$5+AI40+1)="","",TEXT(INDEX($B$6:$Y$23,($AC$3-1-0)*$AC$4+AJ40+1,1*$AC$5+AI40+1),"#,##0")))</f>
        <v>868</v>
      </c>
      <c r="BA40" t="str">
        <f>IF(AH40=1,"",IF(INDEX($B$6:$Y$23,($AC$3-1-1)*$AC$4+AJ40+1,0*$AC$5+AI40+1)="","",TEXT(INDEX($B$6:$Y$23,($AC$3-1-1)*$AC$4+AJ40+1,0*$AC$5+AI40+1),"#,##0")))</f>
        <v>950</v>
      </c>
      <c r="BB40" t="str">
        <f>IF(AH40=1,"",IF(INDEX($B$6:$Y$23,($AC$3-1-1)*$AC$4+AJ40+1,1*$AC$5+AI40+1)="","",TEXT(INDEX($B$6:$Y$23,($AC$3-1-1)*$AC$4+AJ40+1,1*$AC$5+AI40+1),"#,##0")))</f>
        <v>922</v>
      </c>
      <c r="BC40" t="str">
        <f>IF(AH40=1,"",IF(INDEX($B$6:$Y$23,($AC$3-1-2)*$AC$4+AJ40+1,0*$AC$5+AI40+1)="","",TEXT(INDEX($B$6:$Y$23,($AC$3-1-2)*$AC$4+AJ40+1,0*$AC$5+AI40+1),"#,##0")))</f>
        <v>400</v>
      </c>
      <c r="BD40" t="str">
        <f>IF(AH40=1,"",IF(INDEX($B$6:$Y$23,($AC$3-1-2)*$AC$4+AJ40+1,1*$AC$5+AI40+1)="","",TEXT(INDEX($B$6:$Y$23,($AC$3-1-2)*$AC$4+AJ40+1,1*$AC$5+AI40+1),"#,##0")))</f>
        <v>388</v>
      </c>
      <c r="BE40" t="str">
        <f>IF(AH40=1,"",IF(INDEX($B$6:$Y$23,($AC$3-1-3)*$AC$4+AJ40+1,0*$AC$5+AI40+1)="","",TEXT(INDEX($B$6:$Y$23,($AC$3-1-3)*$AC$4+AJ40+1,0*$AC$5+AI40+1),"#,##0")))</f>
        <v>455</v>
      </c>
      <c r="BF40" t="str">
        <f>IF(AH40=1,"",IF(INDEX($B$6:$Y$23,($AC$3-1-3)*$AC$4+AJ40+1,1*$AC$5+AI40+1)="","",TEXT(INDEX($B$6:$Y$23,($AC$3-1-3)*$AC$4+AJ40+1,1*$AC$5+AI40+1),"#,##0")))</f>
        <v>441</v>
      </c>
      <c r="BG40" t="str">
        <f>IF(AH40=1,"",IF(INDEX($B$6:$Y$23,($AC$3-1-4)*$AC$4+AJ40+1,0*$AC$5+AI40+1)="","",TEXT(INDEX($B$6:$Y$23,($AC$3-1-4)*$AC$4+AJ40+1,0*$AC$5+AI40+1),"#,##0")))</f>
        <v>510</v>
      </c>
      <c r="BH40" t="str">
        <f>IF(AH40=1,"",IF(INDEX($B$6:$Y$23,($AC$3-1-4)*$AC$4+AJ40+1,1*$AC$5+AI40+1)="","",TEXT(INDEX($B$6:$Y$23,($AC$3-1-4)*$AC$4+AJ40+1,1*$AC$5+AI40+1),"#,##0")))</f>
        <v>495</v>
      </c>
      <c r="BI40" t="str">
        <f>IF(AH40=1,"",IF(INDEX($B$6:$Y$23,($AC$3-1-5)*$AC$4+AJ40+1,0*$AC$5+AI40+1)="","",TEXT(INDEX($B$6:$Y$23,($AC$3-1-5)*$AC$4+AJ40+1,0*$AC$5+AI40+1),"#,##0")))</f>
        <v>565</v>
      </c>
      <c r="BJ40" t="str">
        <f>IF(AH40=1,"",IF(INDEX($B$6:$Y$23,($AC$3-1-5)*$AC$4+AJ40+1,1*$AC$5+AI40+1)="","",TEXT(INDEX($B$6:$Y$23,($AC$3-1-5)*$AC$4+AJ40+1,1*$AC$5+AI40+1),"#,##0")))</f>
        <v>548</v>
      </c>
      <c r="BR40">
        <v>41.5</v>
      </c>
      <c r="BS40" t="e">
        <f>IF(OR($AC$17&gt;0,$AC$18&lt;0),NA(),1+$AC$20)</f>
        <v>#N/A</v>
      </c>
      <c r="BU40">
        <v>17</v>
      </c>
      <c r="BV40">
        <f>0+$AC$13+0.03</f>
        <v>0.85</v>
      </c>
      <c r="BW40" t="str">
        <f>Dot!$A$22</f>
        <v>Business partner 17</v>
      </c>
      <c r="BY40">
        <v>3.35</v>
      </c>
      <c r="BZ40">
        <f>5+0.5*$AC$13</f>
        <v>5.41</v>
      </c>
      <c r="CA40" t="str">
        <f>TEXT($AC$17+($AC$18-$AC$17)*0.5,"#,##0")</f>
        <v>800</v>
      </c>
    </row>
    <row r="41" spans="28:79" x14ac:dyDescent="0.35">
      <c r="AB41">
        <v>18</v>
      </c>
      <c r="AC41">
        <f>AB41-$AC$12</f>
        <v>15</v>
      </c>
      <c r="AD41">
        <f>IF(AC41&lt;=0,-1,INT((AC41-1)/($AC$10+$AC$11)))</f>
        <v>1</v>
      </c>
      <c r="AE41">
        <f>IF(AC41&lt;=0,-1,MOD(AC41-1,($AC$10+$AC$11)))</f>
        <v>1</v>
      </c>
      <c r="AF41">
        <f>IF(OR(AE41&lt;0,AE41&gt;=$AC$10),-1,INT(AE41/$AC$9))</f>
        <v>1</v>
      </c>
      <c r="AG41">
        <f>IF(OR(AE41&lt;0,AE41&gt;=$AC$10),-1,MOD(AE41,$AC$9))</f>
        <v>0</v>
      </c>
      <c r="AH41">
        <f>IF(OR(AC41&lt;=0,AE41&lt;0,AE41&gt;=$AC$10,AD41&gt;=$AC$7),1,0)</f>
        <v>0</v>
      </c>
      <c r="AI41">
        <f>IF(AH41=1,-1,AF41)</f>
        <v>1</v>
      </c>
      <c r="AJ41">
        <f>IF(AH41=1,-1,AD41)</f>
        <v>1</v>
      </c>
      <c r="AK41" t="str">
        <f>IF(AH41=1,"",IF(AND(MOD(AI41,3)=0,AG41=INT(($AC$9-1)/2)),INDEX($B$5:$M$5,AI41+1),""))</f>
        <v/>
      </c>
      <c r="AL41">
        <f>IF(AH41=1,NA(),IF(INDEX($B$6:$Y$23,($AC$3-1-0)*$AC$4+AJ41+1,0*$AC$5+AI41+1)="",NA(),0+(INDEX($B$6:$Y$23,($AC$3-1-0)*$AC$4+AJ41+1,0*$AC$5+AI41+1)-$AC$17)/$AC$19*$AC$13))</f>
        <v>0.57163111111111109</v>
      </c>
      <c r="AM41">
        <f>IF(AH41=1,NA(),IF(INDEX($B$6:$Y$23,($AC$3-1-0)*$AC$4+AJ41+1,1*$AC$5+AI41+1)="",NA(),0+(INDEX($B$6:$Y$23,($AC$3-1-0)*$AC$4+AJ41+1,1*$AC$5+AI41+1)-$AC$17)/$AC$19*$AC$13))</f>
        <v>0.51924222222222216</v>
      </c>
      <c r="AN41">
        <f>IF(AH41=1,NA(),IF(INDEX($B$6:$Y$23,($AC$3-1-1)*$AC$4+AJ41+1,0*$AC$5+AI41+1)="",NA(),1+(INDEX($B$6:$Y$23,($AC$3-1-1)*$AC$4+AJ41+1,0*$AC$5+AI41+1)-$AC$17)/$AC$19*$AC$13))</f>
        <v>1.6230177777777777</v>
      </c>
      <c r="AO41">
        <f>IF(AH41=1,NA(),IF(INDEX($B$6:$Y$23,($AC$3-1-1)*$AC$4+AJ41+1,1*$AC$5+AI41+1)="",NA(),1+(INDEX($B$6:$Y$23,($AC$3-1-1)*$AC$4+AJ41+1,1*$AC$5+AI41+1)-$AC$17)/$AC$19*$AC$13))</f>
        <v>1.5689888888888888</v>
      </c>
      <c r="AP41">
        <f>IF(AH41=1,NA(),IF(INDEX($B$6:$Y$23,($AC$3-1-2)*$AC$4+AJ41+1,0*$AC$5+AI41+1)="",NA(),2+(INDEX($B$6:$Y$23,($AC$3-1-2)*$AC$4+AJ41+1,0*$AC$5+AI41+1)-$AC$17)/$AC$19*$AC$13))</f>
        <v>2.1093333333333333</v>
      </c>
      <c r="AQ41">
        <f>IF(AH41=1,NA(),IF(INDEX($B$6:$Y$23,($AC$3-1-2)*$AC$4+AJ41+1,1*$AC$5+AI41+1)="",NA(),2+(INDEX($B$6:$Y$23,($AC$3-1-2)*$AC$4+AJ41+1,1*$AC$5+AI41+1)-$AC$17)/$AC$19*$AC$13))</f>
        <v>2.0707933333333335</v>
      </c>
      <c r="AR41">
        <f>IF(AH41=1,NA(),IF(INDEX($B$6:$Y$23,($AC$3-1-3)*$AC$4+AJ41+1,0*$AC$5+AI41+1)="",NA(),3+(INDEX($B$6:$Y$23,($AC$3-1-3)*$AC$4+AJ41+1,0*$AC$5+AI41+1)-$AC$17)/$AC$19*$AC$13))</f>
        <v>3.16072</v>
      </c>
      <c r="AS41">
        <f>IF(AH41=1,NA(),IF(INDEX($B$6:$Y$23,($AC$3-1-3)*$AC$4+AJ41+1,1*$AC$5+AI41+1)="",NA(),3+(INDEX($B$6:$Y$23,($AC$3-1-3)*$AC$4+AJ41+1,1*$AC$5+AI41+1)-$AC$17)/$AC$19*$AC$13))</f>
        <v>3.1206311111111109</v>
      </c>
      <c r="AT41">
        <f>IF(AH41=1,NA(),IF(INDEX($B$6:$Y$23,($AC$3-1-4)*$AC$4+AJ41+1,0*$AC$5+AI41+1)="",NA(),4+(INDEX($B$6:$Y$23,($AC$3-1-4)*$AC$4+AJ41+1,0*$AC$5+AI41+1)-$AC$17)/$AC$19*$AC$13))</f>
        <v>4.2121066666666662</v>
      </c>
      <c r="AU41">
        <f>IF(AH41=1,NA(),IF(INDEX($B$6:$Y$23,($AC$3-1-4)*$AC$4+AJ41+1,1*$AC$5+AI41+1)="",NA(),4+(INDEX($B$6:$Y$23,($AC$3-1-4)*$AC$4+AJ41+1,1*$AC$5+AI41+1)-$AC$17)/$AC$19*$AC$13))</f>
        <v>4.1704688888888892</v>
      </c>
      <c r="AV41">
        <f>IF(AH41=1,NA(),IF(INDEX($B$6:$Y$23,($AC$3-1-5)*$AC$4+AJ41+1,0*$AC$5+AI41+1)="",NA(),5+(INDEX($B$6:$Y$23,($AC$3-1-5)*$AC$4+AJ41+1,0*$AC$5+AI41+1)-$AC$17)/$AC$19*$AC$13))</f>
        <v>5.2634022222222221</v>
      </c>
      <c r="AW41">
        <f>IF(AH41=1,NA(),IF(INDEX($B$6:$Y$23,($AC$3-1-5)*$AC$4+AJ41+1,1*$AC$5+AI41+1)="",NA(),5+(INDEX($B$6:$Y$23,($AC$3-1-5)*$AC$4+AJ41+1,1*$AC$5+AI41+1)-$AC$17)/$AC$19*$AC$13))</f>
        <v>5.2203066666666667</v>
      </c>
      <c r="AY41" t="str">
        <f>IF(AH41=1,"",IF(INDEX($B$6:$Y$23,($AC$3-1-0)*$AC$4+AJ41+1,0*$AC$5+AI41+1)="","",TEXT(INDEX($B$6:$Y$23,($AC$3-1-0)*$AC$4+AJ41+1,0*$AC$5+AI41+1),"#,##0")))</f>
        <v>977</v>
      </c>
      <c r="AZ41" t="str">
        <f>IF(AH41=1,"",IF(INDEX($B$6:$Y$23,($AC$3-1-0)*$AC$4+AJ41+1,1*$AC$5+AI41+1)="","",TEXT(INDEX($B$6:$Y$23,($AC$3-1-0)*$AC$4+AJ41+1,1*$AC$5+AI41+1),"#,##0")))</f>
        <v>920</v>
      </c>
      <c r="BA41" t="str">
        <f>IF(AH41=1,"",IF(INDEX($B$6:$Y$23,($AC$3-1-1)*$AC$4+AJ41+1,0*$AC$5+AI41+1)="","",TEXT(INDEX($B$6:$Y$23,($AC$3-1-1)*$AC$4+AJ41+1,0*$AC$5+AI41+1),"#,##0")))</f>
        <v>1,034</v>
      </c>
      <c r="BB41" t="str">
        <f>IF(AH41=1,"",IF(INDEX($B$6:$Y$23,($AC$3-1-1)*$AC$4+AJ41+1,1*$AC$5+AI41+1)="","",TEXT(INDEX($B$6:$Y$23,($AC$3-1-1)*$AC$4+AJ41+1,1*$AC$5+AI41+1),"#,##0")))</f>
        <v>975</v>
      </c>
      <c r="BC41" t="str">
        <f>IF(AH41=1,"",IF(INDEX($B$6:$Y$23,($AC$3-1-2)*$AC$4+AJ41+1,0*$AC$5+AI41+1)="","",TEXT(INDEX($B$6:$Y$23,($AC$3-1-2)*$AC$4+AJ41+1,0*$AC$5+AI41+1),"#,##0")))</f>
        <v>470</v>
      </c>
      <c r="BD41" t="str">
        <f>IF(AH41=1,"",IF(INDEX($B$6:$Y$23,($AC$3-1-2)*$AC$4+AJ41+1,1*$AC$5+AI41+1)="","",TEXT(INDEX($B$6:$Y$23,($AC$3-1-2)*$AC$4+AJ41+1,1*$AC$5+AI41+1),"#,##0")))</f>
        <v>428</v>
      </c>
      <c r="BE41" t="str">
        <f>IF(AH41=1,"",IF(INDEX($B$6:$Y$23,($AC$3-1-3)*$AC$4+AJ41+1,0*$AC$5+AI41+1)="","",TEXT(INDEX($B$6:$Y$23,($AC$3-1-3)*$AC$4+AJ41+1,0*$AC$5+AI41+1),"#,##0")))</f>
        <v>526</v>
      </c>
      <c r="BF41" t="str">
        <f>IF(AH41=1,"",IF(INDEX($B$6:$Y$23,($AC$3-1-3)*$AC$4+AJ41+1,1*$AC$5+AI41+1)="","",TEXT(INDEX($B$6:$Y$23,($AC$3-1-3)*$AC$4+AJ41+1,1*$AC$5+AI41+1),"#,##0")))</f>
        <v>482</v>
      </c>
      <c r="BG41" t="str">
        <f>IF(AH41=1,"",IF(INDEX($B$6:$Y$23,($AC$3-1-4)*$AC$4+AJ41+1,0*$AC$5+AI41+1)="","",TEXT(INDEX($B$6:$Y$23,($AC$3-1-4)*$AC$4+AJ41+1,0*$AC$5+AI41+1),"#,##0")))</f>
        <v>583</v>
      </c>
      <c r="BH41" t="str">
        <f>IF(AH41=1,"",IF(INDEX($B$6:$Y$23,($AC$3-1-4)*$AC$4+AJ41+1,1*$AC$5+AI41+1)="","",TEXT(INDEX($B$6:$Y$23,($AC$3-1-4)*$AC$4+AJ41+1,1*$AC$5+AI41+1),"#,##0")))</f>
        <v>537</v>
      </c>
      <c r="BI41" t="str">
        <f>IF(AH41=1,"",IF(INDEX($B$6:$Y$23,($AC$3-1-5)*$AC$4+AJ41+1,0*$AC$5+AI41+1)="","",TEXT(INDEX($B$6:$Y$23,($AC$3-1-5)*$AC$4+AJ41+1,0*$AC$5+AI41+1),"#,##0")))</f>
        <v>639</v>
      </c>
      <c r="BJ41" t="str">
        <f>IF(AH41=1,"",IF(INDEX($B$6:$Y$23,($AC$3-1-5)*$AC$4+AJ41+1,1*$AC$5+AI41+1)="","",TEXT(INDEX($B$6:$Y$23,($AC$3-1-5)*$AC$4+AJ41+1,1*$AC$5+AI41+1),"#,##0")))</f>
        <v>592</v>
      </c>
      <c r="BR41">
        <v>41.5</v>
      </c>
      <c r="BS41" t="e">
        <f>NA()</f>
        <v>#N/A</v>
      </c>
      <c r="BU41">
        <v>30</v>
      </c>
      <c r="BV41">
        <f>0+$AC$13+0.03</f>
        <v>0.85</v>
      </c>
      <c r="BW41" t="str">
        <f>Dot!$A$23</f>
        <v>Business partner 18</v>
      </c>
      <c r="BY41">
        <v>3.35</v>
      </c>
      <c r="BZ41">
        <f>5+1*$AC$13</f>
        <v>5.82</v>
      </c>
      <c r="CA41" t="str">
        <f>TEXT($AC$17+($AC$18-$AC$17)*1,"#,##0")</f>
        <v>1,250</v>
      </c>
    </row>
    <row r="42" spans="28:79" x14ac:dyDescent="0.35">
      <c r="AB42">
        <v>19</v>
      </c>
      <c r="AC42">
        <f>AB42-$AC$12</f>
        <v>16</v>
      </c>
      <c r="AD42">
        <f>IF(AC42&lt;=0,-1,INT((AC42-1)/($AC$10+$AC$11)))</f>
        <v>1</v>
      </c>
      <c r="AE42">
        <f>IF(AC42&lt;=0,-1,MOD(AC42-1,($AC$10+$AC$11)))</f>
        <v>2</v>
      </c>
      <c r="AF42">
        <f>IF(OR(AE42&lt;0,AE42&gt;=$AC$10),-1,INT(AE42/$AC$9))</f>
        <v>2</v>
      </c>
      <c r="AG42">
        <f>IF(OR(AE42&lt;0,AE42&gt;=$AC$10),-1,MOD(AE42,$AC$9))</f>
        <v>0</v>
      </c>
      <c r="AH42">
        <f>IF(OR(AC42&lt;=0,AE42&lt;0,AE42&gt;=$AC$10,AD42&gt;=$AC$7),1,0)</f>
        <v>0</v>
      </c>
      <c r="AI42">
        <f>IF(AH42=1,-1,AF42)</f>
        <v>2</v>
      </c>
      <c r="AJ42">
        <f>IF(AH42=1,-1,AD42)</f>
        <v>1</v>
      </c>
      <c r="AK42" t="str">
        <f>IF(AH42=1,"",IF(AND(MOD(AI42,3)=0,AG42=INT(($AC$9-1)/2)),INDEX($B$5:$M$5,AI42+1),""))</f>
        <v/>
      </c>
      <c r="AL42">
        <f>IF(AH42=1,NA(),IF(INDEX($B$6:$Y$23,($AC$3-1-0)*$AC$4+AJ42+1,0*$AC$5+AI42+1)="",NA(),0+(INDEX($B$6:$Y$23,($AC$3-1-0)*$AC$4+AJ42+1,0*$AC$5+AI42+1)-$AC$17)/$AC$19*$AC$13))</f>
        <v>0.48270666666666662</v>
      </c>
      <c r="AM42">
        <f>IF(AH42=1,NA(),IF(INDEX($B$6:$Y$23,($AC$3-1-0)*$AC$4+AJ42+1,1*$AC$5+AI42+1)="",NA(),0+(INDEX($B$6:$Y$23,($AC$3-1-0)*$AC$4+AJ42+1,1*$AC$5+AI42+1)-$AC$17)/$AC$19*$AC$13))</f>
        <v>0.48434666666666665</v>
      </c>
      <c r="AN42">
        <f>IF(AH42=1,NA(),IF(INDEX($B$6:$Y$23,($AC$3-1-1)*$AC$4+AJ42+1,0*$AC$5+AI42+1)="",NA(),1+(INDEX($B$6:$Y$23,($AC$3-1-1)*$AC$4+AJ42+1,0*$AC$5+AI42+1)-$AC$17)/$AC$19*$AC$13))</f>
        <v>1.5352777777777777</v>
      </c>
      <c r="AO42">
        <f>IF(AH42=1,NA(),IF(INDEX($B$6:$Y$23,($AC$3-1-1)*$AC$4+AJ42+1,1*$AC$5+AI42+1)="",NA(),1+(INDEX($B$6:$Y$23,($AC$3-1-1)*$AC$4+AJ42+1,1*$AC$5+AI42+1)-$AC$17)/$AC$19*$AC$13))</f>
        <v>1.5353688888888888</v>
      </c>
      <c r="AP42">
        <f>IF(AH42=1,NA(),IF(INDEX($B$6:$Y$23,($AC$3-1-2)*$AC$4+AJ42+1,0*$AC$5+AI42+1)="",NA(),2+(INDEX($B$6:$Y$23,($AC$3-1-2)*$AC$4+AJ42+1,0*$AC$5+AI42+1)-$AC$17)/$AC$19*$AC$13))</f>
        <v>2.0091111111111113</v>
      </c>
      <c r="AQ42">
        <f>IF(AH42=1,NA(),IF(INDEX($B$6:$Y$23,($AC$3-1-2)*$AC$4+AJ42+1,1*$AC$5+AI42+1)="",NA(),2+(INDEX($B$6:$Y$23,($AC$3-1-2)*$AC$4+AJ42+1,1*$AC$5+AI42+1)-$AC$17)/$AC$19*$AC$13))</f>
        <v>2.0249644444444446</v>
      </c>
      <c r="AR42">
        <f>IF(AH42=1,NA(),IF(INDEX($B$6:$Y$23,($AC$3-1-3)*$AC$4+AJ42+1,0*$AC$5+AI42+1)="",NA(),3+(INDEX($B$6:$Y$23,($AC$3-1-3)*$AC$4+AJ42+1,0*$AC$5+AI42+1)-$AC$17)/$AC$19*$AC$13))</f>
        <v>3.0617733333333335</v>
      </c>
      <c r="AS42">
        <f>IF(AH42=1,NA(),IF(INDEX($B$6:$Y$23,($AC$3-1-3)*$AC$4+AJ42+1,1*$AC$5+AI42+1)="",NA(),3+(INDEX($B$6:$Y$23,($AC$3-1-3)*$AC$4+AJ42+1,1*$AC$5+AI42+1)-$AC$17)/$AC$19*$AC$13))</f>
        <v>3.0759866666666666</v>
      </c>
      <c r="AT42">
        <f>IF(AH42=1,NA(),IF(INDEX($B$6:$Y$23,($AC$3-1-4)*$AC$4+AJ42+1,0*$AC$5+AI42+1)="",NA(),4+(INDEX($B$6:$Y$23,($AC$3-1-4)*$AC$4+AJ42+1,0*$AC$5+AI42+1)-$AC$17)/$AC$19*$AC$13))</f>
        <v>4.1143444444444448</v>
      </c>
      <c r="AU42">
        <f>IF(AH42=1,NA(),IF(INDEX($B$6:$Y$23,($AC$3-1-4)*$AC$4+AJ42+1,1*$AC$5+AI42+1)="",NA(),4+(INDEX($B$6:$Y$23,($AC$3-1-4)*$AC$4+AJ42+1,1*$AC$5+AI42+1)-$AC$17)/$AC$19*$AC$13))</f>
        <v>4.1270088888888887</v>
      </c>
      <c r="AV42">
        <f>IF(AH42=1,NA(),IF(INDEX($B$6:$Y$23,($AC$3-1-5)*$AC$4+AJ42+1,0*$AC$5+AI42+1)="",NA(),5+(INDEX($B$6:$Y$23,($AC$3-1-5)*$AC$4+AJ42+1,0*$AC$5+AI42+1)-$AC$17)/$AC$19*$AC$13))</f>
        <v>5.1669155555555557</v>
      </c>
      <c r="AW42">
        <f>IF(AH42=1,NA(),IF(INDEX($B$6:$Y$23,($AC$3-1-5)*$AC$4+AJ42+1,1*$AC$5+AI42+1)="",NA(),5+(INDEX($B$6:$Y$23,($AC$3-1-5)*$AC$4+AJ42+1,1*$AC$5+AI42+1)-$AC$17)/$AC$19*$AC$13))</f>
        <v>5.1781222222222221</v>
      </c>
      <c r="AY42" t="str">
        <f>IF(AH42=1,"",IF(INDEX($B$6:$Y$23,($AC$3-1-0)*$AC$4+AJ42+1,0*$AC$5+AI42+1)="","",TEXT(INDEX($B$6:$Y$23,($AC$3-1-0)*$AC$4+AJ42+1,0*$AC$5+AI42+1),"#,##0")))</f>
        <v>880</v>
      </c>
      <c r="AZ42" t="str">
        <f>IF(AH42=1,"",IF(INDEX($B$6:$Y$23,($AC$3-1-0)*$AC$4+AJ42+1,1*$AC$5+AI42+1)="","",TEXT(INDEX($B$6:$Y$23,($AC$3-1-0)*$AC$4+AJ42+1,1*$AC$5+AI42+1),"#,##0")))</f>
        <v>882</v>
      </c>
      <c r="BA42" t="str">
        <f>IF(AH42=1,"",IF(INDEX($B$6:$Y$23,($AC$3-1-1)*$AC$4+AJ42+1,0*$AC$5+AI42+1)="","",TEXT(INDEX($B$6:$Y$23,($AC$3-1-1)*$AC$4+AJ42+1,0*$AC$5+AI42+1),"#,##0")))</f>
        <v>938</v>
      </c>
      <c r="BB42" t="str">
        <f>IF(AH42=1,"",IF(INDEX($B$6:$Y$23,($AC$3-1-1)*$AC$4+AJ42+1,1*$AC$5+AI42+1)="","",TEXT(INDEX($B$6:$Y$23,($AC$3-1-1)*$AC$4+AJ42+1,1*$AC$5+AI42+1),"#,##0")))</f>
        <v>938</v>
      </c>
      <c r="BC42" t="str">
        <f>IF(AH42=1,"",IF(INDEX($B$6:$Y$23,($AC$3-1-2)*$AC$4+AJ42+1,0*$AC$5+AI42+1)="","",TEXT(INDEX($B$6:$Y$23,($AC$3-1-2)*$AC$4+AJ42+1,0*$AC$5+AI42+1),"#,##0")))</f>
        <v>360</v>
      </c>
      <c r="BD42" t="str">
        <f>IF(AH42=1,"",IF(INDEX($B$6:$Y$23,($AC$3-1-2)*$AC$4+AJ42+1,1*$AC$5+AI42+1)="","",TEXT(INDEX($B$6:$Y$23,($AC$3-1-2)*$AC$4+AJ42+1,1*$AC$5+AI42+1),"#,##0")))</f>
        <v>377</v>
      </c>
      <c r="BE42" t="str">
        <f>IF(AH42=1,"",IF(INDEX($B$6:$Y$23,($AC$3-1-3)*$AC$4+AJ42+1,0*$AC$5+AI42+1)="","",TEXT(INDEX($B$6:$Y$23,($AC$3-1-3)*$AC$4+AJ42+1,0*$AC$5+AI42+1),"#,##0")))</f>
        <v>418</v>
      </c>
      <c r="BF42" t="str">
        <f>IF(AH42=1,"",IF(INDEX($B$6:$Y$23,($AC$3-1-3)*$AC$4+AJ42+1,1*$AC$5+AI42+1)="","",TEXT(INDEX($B$6:$Y$23,($AC$3-1-3)*$AC$4+AJ42+1,1*$AC$5+AI42+1),"#,##0")))</f>
        <v>433</v>
      </c>
      <c r="BG42" t="str">
        <f>IF(AH42=1,"",IF(INDEX($B$6:$Y$23,($AC$3-1-4)*$AC$4+AJ42+1,0*$AC$5+AI42+1)="","",TEXT(INDEX($B$6:$Y$23,($AC$3-1-4)*$AC$4+AJ42+1,0*$AC$5+AI42+1),"#,##0")))</f>
        <v>476</v>
      </c>
      <c r="BH42" t="str">
        <f>IF(AH42=1,"",IF(INDEX($B$6:$Y$23,($AC$3-1-4)*$AC$4+AJ42+1,1*$AC$5+AI42+1)="","",TEXT(INDEX($B$6:$Y$23,($AC$3-1-4)*$AC$4+AJ42+1,1*$AC$5+AI42+1),"#,##0")))</f>
        <v>489</v>
      </c>
      <c r="BI42" t="str">
        <f>IF(AH42=1,"",IF(INDEX($B$6:$Y$23,($AC$3-1-5)*$AC$4+AJ42+1,0*$AC$5+AI42+1)="","",TEXT(INDEX($B$6:$Y$23,($AC$3-1-5)*$AC$4+AJ42+1,0*$AC$5+AI42+1),"#,##0")))</f>
        <v>533</v>
      </c>
      <c r="BJ42" t="str">
        <f>IF(AH42=1,"",IF(INDEX($B$6:$Y$23,($AC$3-1-5)*$AC$4+AJ42+1,1*$AC$5+AI42+1)="","",TEXT(INDEX($B$6:$Y$23,($AC$3-1-5)*$AC$4+AJ42+1,1*$AC$5+AI42+1),"#,##0")))</f>
        <v>546</v>
      </c>
      <c r="BR42">
        <v>3.5</v>
      </c>
      <c r="BS42" t="e">
        <f>IF(OR($AC$17&gt;0,$AC$18&lt;0),NA(),2+$AC$20)</f>
        <v>#N/A</v>
      </c>
    </row>
    <row r="43" spans="28:79" x14ac:dyDescent="0.35">
      <c r="AB43">
        <v>20</v>
      </c>
      <c r="AC43">
        <f>AB43-$AC$12</f>
        <v>17</v>
      </c>
      <c r="AD43">
        <f>IF(AC43&lt;=0,-1,INT((AC43-1)/($AC$10+$AC$11)))</f>
        <v>1</v>
      </c>
      <c r="AE43">
        <f>IF(AC43&lt;=0,-1,MOD(AC43-1,($AC$10+$AC$11)))</f>
        <v>3</v>
      </c>
      <c r="AF43">
        <f>IF(OR(AE43&lt;0,AE43&gt;=$AC$10),-1,INT(AE43/$AC$9))</f>
        <v>3</v>
      </c>
      <c r="AG43">
        <f>IF(OR(AE43&lt;0,AE43&gt;=$AC$10),-1,MOD(AE43,$AC$9))</f>
        <v>0</v>
      </c>
      <c r="AH43">
        <f>IF(OR(AC43&lt;=0,AE43&lt;0,AE43&gt;=$AC$10,AD43&gt;=$AC$7),1,0)</f>
        <v>0</v>
      </c>
      <c r="AI43">
        <f>IF(AH43=1,-1,AF43)</f>
        <v>3</v>
      </c>
      <c r="AJ43">
        <f>IF(AH43=1,-1,AD43)</f>
        <v>1</v>
      </c>
      <c r="AK43" t="str">
        <f>IF(AH43=1,"",IF(AND(MOD(AI43,3)=0,AG43=INT(($AC$9-1)/2)),INDEX($B$5:$M$5,AI43+1),""))</f>
        <v>Apr</v>
      </c>
      <c r="AL43">
        <f>IF(AH43=1,NA(),IF(INDEX($B$6:$Y$23,($AC$3-1-0)*$AC$4+AJ43+1,0*$AC$5+AI43+1)="",NA(),0+(INDEX($B$6:$Y$23,($AC$3-1-0)*$AC$4+AJ43+1,0*$AC$5+AI43+1)-$AC$17)/$AC$19*$AC$13))</f>
        <v>0.55769111111111103</v>
      </c>
      <c r="AM43">
        <f>IF(AH43=1,NA(),IF(INDEX($B$6:$Y$23,($AC$3-1-0)*$AC$4+AJ43+1,1*$AC$5+AI43+1)="",NA(),0+(INDEX($B$6:$Y$23,($AC$3-1-0)*$AC$4+AJ43+1,1*$AC$5+AI43+1)-$AC$17)/$AC$19*$AC$13))</f>
        <v>0.5314511111111111</v>
      </c>
      <c r="AN43">
        <f>IF(AH43=1,NA(),IF(INDEX($B$6:$Y$23,($AC$3-1-1)*$AC$4+AJ43+1,0*$AC$5+AI43+1)="",NA(),1+(INDEX($B$6:$Y$23,($AC$3-1-1)*$AC$4+AJ43+1,0*$AC$5+AI43+1)-$AC$17)/$AC$19*$AC$13))</f>
        <v>1.611537777777778</v>
      </c>
      <c r="AO43">
        <f>IF(AH43=1,NA(),IF(INDEX($B$6:$Y$23,($AC$3-1-1)*$AC$4+AJ43+1,1*$AC$5+AI43+1)="",NA(),1+(INDEX($B$6:$Y$23,($AC$3-1-1)*$AC$4+AJ43+1,1*$AC$5+AI43+1)-$AC$17)/$AC$19*$AC$13))</f>
        <v>1.5836577777777778</v>
      </c>
      <c r="AP43">
        <f>IF(AH43=1,NA(),IF(INDEX($B$6:$Y$23,($AC$3-1-2)*$AC$4+AJ43+1,0*$AC$5+AI43+1)="",NA(),2+(INDEX($B$6:$Y$23,($AC$3-1-2)*$AC$4+AJ43+1,0*$AC$5+AI43+1)-$AC$17)/$AC$19*$AC$13))</f>
        <v>2.072888888888889</v>
      </c>
      <c r="AQ43">
        <f>IF(AH43=1,NA(),IF(INDEX($B$6:$Y$23,($AC$3-1-2)*$AC$4+AJ43+1,1*$AC$5+AI43+1)="",NA(),2+(INDEX($B$6:$Y$23,($AC$3-1-2)*$AC$4+AJ43+1,1*$AC$5+AI43+1)-$AC$17)/$AC$19*$AC$13))</f>
        <v>2.0611355555555555</v>
      </c>
      <c r="AR43">
        <f>IF(AH43=1,NA(),IF(INDEX($B$6:$Y$23,($AC$3-1-3)*$AC$4+AJ43+1,0*$AC$5+AI43+1)="",NA(),3+(INDEX($B$6:$Y$23,($AC$3-1-3)*$AC$4+AJ43+1,0*$AC$5+AI43+1)-$AC$17)/$AC$19*$AC$13))</f>
        <v>3.1267355555555554</v>
      </c>
      <c r="AS43">
        <f>IF(AH43=1,NA(),IF(INDEX($B$6:$Y$23,($AC$3-1-3)*$AC$4+AJ43+1,1*$AC$5+AI43+1)="",NA(),3+(INDEX($B$6:$Y$23,($AC$3-1-3)*$AC$4+AJ43+1,1*$AC$5+AI43+1)-$AC$17)/$AC$19*$AC$13))</f>
        <v>3.1134333333333335</v>
      </c>
      <c r="AT43">
        <f>IF(AH43=1,NA(),IF(INDEX($B$6:$Y$23,($AC$3-1-4)*$AC$4+AJ43+1,0*$AC$5+AI43+1)="",NA(),4+(INDEX($B$6:$Y$23,($AC$3-1-4)*$AC$4+AJ43+1,0*$AC$5+AI43+1)-$AC$17)/$AC$19*$AC$13))</f>
        <v>4.1805822222222222</v>
      </c>
      <c r="AU43">
        <f>IF(AH43=1,NA(),IF(INDEX($B$6:$Y$23,($AC$3-1-4)*$AC$4+AJ43+1,1*$AC$5+AI43+1)="",NA(),4+(INDEX($B$6:$Y$23,($AC$3-1-4)*$AC$4+AJ43+1,1*$AC$5+AI43+1)-$AC$17)/$AC$19*$AC$13))</f>
        <v>4.1656399999999998</v>
      </c>
      <c r="AV43">
        <f>IF(AH43=1,NA(),IF(INDEX($B$6:$Y$23,($AC$3-1-5)*$AC$4+AJ43+1,0*$AC$5+AI43+1)="",NA(),5+(INDEX($B$6:$Y$23,($AC$3-1-5)*$AC$4+AJ43+1,0*$AC$5+AI43+1)-$AC$17)/$AC$19*$AC$13))</f>
        <v>5.2345199999999998</v>
      </c>
      <c r="AW43">
        <f>IF(AH43=1,NA(),IF(INDEX($B$6:$Y$23,($AC$3-1-5)*$AC$4+AJ43+1,1*$AC$5+AI43+1)="",NA(),5+(INDEX($B$6:$Y$23,($AC$3-1-5)*$AC$4+AJ43+1,1*$AC$5+AI43+1)-$AC$17)/$AC$19*$AC$13))</f>
        <v>5.2179377777777782</v>
      </c>
      <c r="AY43" t="str">
        <f>IF(AH43=1,"",IF(INDEX($B$6:$Y$23,($AC$3-1-0)*$AC$4+AJ43+1,0*$AC$5+AI43+1)="","",TEXT(INDEX($B$6:$Y$23,($AC$3-1-0)*$AC$4+AJ43+1,0*$AC$5+AI43+1),"#,##0")))</f>
        <v>962</v>
      </c>
      <c r="AZ43" t="str">
        <f>IF(AH43=1,"",IF(INDEX($B$6:$Y$23,($AC$3-1-0)*$AC$4+AJ43+1,1*$AC$5+AI43+1)="","",TEXT(INDEX($B$6:$Y$23,($AC$3-1-0)*$AC$4+AJ43+1,1*$AC$5+AI43+1),"#,##0")))</f>
        <v>933</v>
      </c>
      <c r="BA43" t="str">
        <f>IF(AH43=1,"",IF(INDEX($B$6:$Y$23,($AC$3-1-1)*$AC$4+AJ43+1,0*$AC$5+AI43+1)="","",TEXT(INDEX($B$6:$Y$23,($AC$3-1-1)*$AC$4+AJ43+1,0*$AC$5+AI43+1),"#,##0")))</f>
        <v>1,021</v>
      </c>
      <c r="BB43" t="str">
        <f>IF(AH43=1,"",IF(INDEX($B$6:$Y$23,($AC$3-1-1)*$AC$4+AJ43+1,1*$AC$5+AI43+1)="","",TEXT(INDEX($B$6:$Y$23,($AC$3-1-1)*$AC$4+AJ43+1,1*$AC$5+AI43+1),"#,##0")))</f>
        <v>991</v>
      </c>
      <c r="BC43" t="str">
        <f>IF(AH43=1,"",IF(INDEX($B$6:$Y$23,($AC$3-1-2)*$AC$4+AJ43+1,0*$AC$5+AI43+1)="","",TEXT(INDEX($B$6:$Y$23,($AC$3-1-2)*$AC$4+AJ43+1,0*$AC$5+AI43+1),"#,##0")))</f>
        <v>430</v>
      </c>
      <c r="BD43" t="str">
        <f>IF(AH43=1,"",IF(INDEX($B$6:$Y$23,($AC$3-1-2)*$AC$4+AJ43+1,1*$AC$5+AI43+1)="","",TEXT(INDEX($B$6:$Y$23,($AC$3-1-2)*$AC$4+AJ43+1,1*$AC$5+AI43+1),"#,##0")))</f>
        <v>417</v>
      </c>
      <c r="BE43" t="str">
        <f>IF(AH43=1,"",IF(INDEX($B$6:$Y$23,($AC$3-1-3)*$AC$4+AJ43+1,0*$AC$5+AI43+1)="","",TEXT(INDEX($B$6:$Y$23,($AC$3-1-3)*$AC$4+AJ43+1,0*$AC$5+AI43+1),"#,##0")))</f>
        <v>489</v>
      </c>
      <c r="BF43" t="str">
        <f>IF(AH43=1,"",IF(INDEX($B$6:$Y$23,($AC$3-1-3)*$AC$4+AJ43+1,1*$AC$5+AI43+1)="","",TEXT(INDEX($B$6:$Y$23,($AC$3-1-3)*$AC$4+AJ43+1,1*$AC$5+AI43+1),"#,##0")))</f>
        <v>475</v>
      </c>
      <c r="BG43" t="str">
        <f>IF(AH43=1,"",IF(INDEX($B$6:$Y$23,($AC$3-1-4)*$AC$4+AJ43+1,0*$AC$5+AI43+1)="","",TEXT(INDEX($B$6:$Y$23,($AC$3-1-4)*$AC$4+AJ43+1,0*$AC$5+AI43+1),"#,##0")))</f>
        <v>548</v>
      </c>
      <c r="BH43" t="str">
        <f>IF(AH43=1,"",IF(INDEX($B$6:$Y$23,($AC$3-1-4)*$AC$4+AJ43+1,1*$AC$5+AI43+1)="","",TEXT(INDEX($B$6:$Y$23,($AC$3-1-4)*$AC$4+AJ43+1,1*$AC$5+AI43+1),"#,##0")))</f>
        <v>532</v>
      </c>
      <c r="BI43" t="str">
        <f>IF(AH43=1,"",IF(INDEX($B$6:$Y$23,($AC$3-1-5)*$AC$4+AJ43+1,0*$AC$5+AI43+1)="","",TEXT(INDEX($B$6:$Y$23,($AC$3-1-5)*$AC$4+AJ43+1,0*$AC$5+AI43+1),"#,##0")))</f>
        <v>607</v>
      </c>
      <c r="BJ43" t="str">
        <f>IF(AH43=1,"",IF(INDEX($B$6:$Y$23,($AC$3-1-5)*$AC$4+AJ43+1,1*$AC$5+AI43+1)="","",TEXT(INDEX($B$6:$Y$23,($AC$3-1-5)*$AC$4+AJ43+1,1*$AC$5+AI43+1),"#,##0")))</f>
        <v>589</v>
      </c>
      <c r="BR43">
        <v>15.5</v>
      </c>
      <c r="BS43" t="e">
        <f>IF(OR($AC$17&gt;0,$AC$18&lt;0),NA(),2+$AC$20)</f>
        <v>#N/A</v>
      </c>
    </row>
    <row r="44" spans="28:79" x14ac:dyDescent="0.35">
      <c r="AB44">
        <v>21</v>
      </c>
      <c r="AC44">
        <f>AB44-$AC$12</f>
        <v>18</v>
      </c>
      <c r="AD44">
        <f>IF(AC44&lt;=0,-1,INT((AC44-1)/($AC$10+$AC$11)))</f>
        <v>1</v>
      </c>
      <c r="AE44">
        <f>IF(AC44&lt;=0,-1,MOD(AC44-1,($AC$10+$AC$11)))</f>
        <v>4</v>
      </c>
      <c r="AF44">
        <f>IF(OR(AE44&lt;0,AE44&gt;=$AC$10),-1,INT(AE44/$AC$9))</f>
        <v>4</v>
      </c>
      <c r="AG44">
        <f>IF(OR(AE44&lt;0,AE44&gt;=$AC$10),-1,MOD(AE44,$AC$9))</f>
        <v>0</v>
      </c>
      <c r="AH44">
        <f>IF(OR(AC44&lt;=0,AE44&lt;0,AE44&gt;=$AC$10,AD44&gt;=$AC$7),1,0)</f>
        <v>0</v>
      </c>
      <c r="AI44">
        <f>IF(AH44=1,-1,AF44)</f>
        <v>4</v>
      </c>
      <c r="AJ44">
        <f>IF(AH44=1,-1,AD44)</f>
        <v>1</v>
      </c>
      <c r="AK44" t="str">
        <f>IF(AH44=1,"",IF(AND(MOD(AI44,3)=0,AG44=INT(($AC$9-1)/2)),INDEX($B$5:$M$5,AI44+1),""))</f>
        <v/>
      </c>
      <c r="AL44">
        <f>IF(AH44=1,NA(),IF(INDEX($B$6:$Y$23,($AC$3-1-0)*$AC$4+AJ44+1,0*$AC$5+AI44+1)="",NA(),0+(INDEX($B$6:$Y$23,($AC$3-1-0)*$AC$4+AJ44+1,0*$AC$5+AI44+1)-$AC$17)/$AC$19*$AC$13))</f>
        <v>0.63276666666666659</v>
      </c>
      <c r="AM44">
        <f>IF(AH44=1,NA(),IF(INDEX($B$6:$Y$23,($AC$3-1-0)*$AC$4+AJ44+1,1*$AC$5+AI44+1)="",NA(),0+(INDEX($B$6:$Y$23,($AC$3-1-0)*$AC$4+AJ44+1,1*$AC$5+AI44+1)-$AC$17)/$AC$19*$AC$13))</f>
        <v>0.5785555555555556</v>
      </c>
      <c r="AN44">
        <f>IF(AH44=1,NA(),IF(INDEX($B$6:$Y$23,($AC$3-1-1)*$AC$4+AJ44+1,0*$AC$5+AI44+1)="",NA(),1+(INDEX($B$6:$Y$23,($AC$3-1-1)*$AC$4+AJ44+1,0*$AC$5+AI44+1)-$AC$17)/$AC$19*$AC$13))</f>
        <v>1.6878888888888888</v>
      </c>
      <c r="AO44">
        <f>IF(AH44=1,NA(),IF(INDEX($B$6:$Y$23,($AC$3-1-1)*$AC$4+AJ44+1,1*$AC$5+AI44+1)="",NA(),1+(INDEX($B$6:$Y$23,($AC$3-1-1)*$AC$4+AJ44+1,1*$AC$5+AI44+1)-$AC$17)/$AC$19*$AC$13))</f>
        <v>1.6320377777777777</v>
      </c>
      <c r="AP44">
        <f>IF(AH44=1,NA(),IF(INDEX($B$6:$Y$23,($AC$3-1-2)*$AC$4+AJ44+1,0*$AC$5+AI44+1)="",NA(),2+(INDEX($B$6:$Y$23,($AC$3-1-2)*$AC$4+AJ44+1,0*$AC$5+AI44+1)-$AC$17)/$AC$19*$AC$13))</f>
        <v>2.1366666666666667</v>
      </c>
      <c r="AQ44">
        <f>IF(AH44=1,NA(),IF(INDEX($B$6:$Y$23,($AC$3-1-2)*$AC$4+AJ44+1,1*$AC$5+AI44+1)="",NA(),2+(INDEX($B$6:$Y$23,($AC$3-1-2)*$AC$4+AJ44+1,1*$AC$5+AI44+1)-$AC$17)/$AC$19*$AC$13))</f>
        <v>2.0973066666666669</v>
      </c>
      <c r="AR44">
        <f>IF(AH44=1,NA(),IF(INDEX($B$6:$Y$23,($AC$3-1-3)*$AC$4+AJ44+1,0*$AC$5+AI44+1)="",NA(),3+(INDEX($B$6:$Y$23,($AC$3-1-3)*$AC$4+AJ44+1,0*$AC$5+AI44+1)-$AC$17)/$AC$19*$AC$13))</f>
        <v>3.191788888888889</v>
      </c>
      <c r="AS44">
        <f>IF(AH44=1,NA(),IF(INDEX($B$6:$Y$23,($AC$3-1-3)*$AC$4+AJ44+1,1*$AC$5+AI44+1)="",NA(),3+(INDEX($B$6:$Y$23,($AC$3-1-3)*$AC$4+AJ44+1,1*$AC$5+AI44+1)-$AC$17)/$AC$19*$AC$13))</f>
        <v>3.1507888888888891</v>
      </c>
      <c r="AT44">
        <f>IF(AH44=1,NA(),IF(INDEX($B$6:$Y$23,($AC$3-1-4)*$AC$4+AJ44+1,0*$AC$5+AI44+1)="",NA(),4+(INDEX($B$6:$Y$23,($AC$3-1-4)*$AC$4+AJ44+1,0*$AC$5+AI44+1)-$AC$17)/$AC$19*$AC$13))</f>
        <v>4.2469111111111113</v>
      </c>
      <c r="AU44">
        <f>IF(AH44=1,NA(),IF(INDEX($B$6:$Y$23,($AC$3-1-4)*$AC$4+AJ44+1,1*$AC$5+AI44+1)="",NA(),4+(INDEX($B$6:$Y$23,($AC$3-1-4)*$AC$4+AJ44+1,1*$AC$5+AI44+1)-$AC$17)/$AC$19*$AC$13))</f>
        <v>4.2042711111111108</v>
      </c>
      <c r="AV44">
        <f>IF(AH44=1,NA(),IF(INDEX($B$6:$Y$23,($AC$3-1-5)*$AC$4+AJ44+1,0*$AC$5+AI44+1)="",NA(),5+(INDEX($B$6:$Y$23,($AC$3-1-5)*$AC$4+AJ44+1,0*$AC$5+AI44+1)-$AC$17)/$AC$19*$AC$13))</f>
        <v>5.3020333333333332</v>
      </c>
      <c r="AW44">
        <f>IF(AH44=1,NA(),IF(INDEX($B$6:$Y$23,($AC$3-1-5)*$AC$4+AJ44+1,1*$AC$5+AI44+1)="",NA(),5+(INDEX($B$6:$Y$23,($AC$3-1-5)*$AC$4+AJ44+1,1*$AC$5+AI44+1)-$AC$17)/$AC$19*$AC$13))</f>
        <v>5.2577533333333335</v>
      </c>
      <c r="AY44" t="str">
        <f>IF(AH44=1,"",IF(INDEX($B$6:$Y$23,($AC$3-1-0)*$AC$4+AJ44+1,0*$AC$5+AI44+1)="","",TEXT(INDEX($B$6:$Y$23,($AC$3-1-0)*$AC$4+AJ44+1,0*$AC$5+AI44+1),"#,##0")))</f>
        <v>1,045</v>
      </c>
      <c r="AZ44" t="str">
        <f>IF(AH44=1,"",IF(INDEX($B$6:$Y$23,($AC$3-1-0)*$AC$4+AJ44+1,1*$AC$5+AI44+1)="","",TEXT(INDEX($B$6:$Y$23,($AC$3-1-0)*$AC$4+AJ44+1,1*$AC$5+AI44+1),"#,##0")))</f>
        <v>985</v>
      </c>
      <c r="BA44" t="str">
        <f>IF(AH44=1,"",IF(INDEX($B$6:$Y$23,($AC$3-1-1)*$AC$4+AJ44+1,0*$AC$5+AI44+1)="","",TEXT(INDEX($B$6:$Y$23,($AC$3-1-1)*$AC$4+AJ44+1,0*$AC$5+AI44+1),"#,##0")))</f>
        <v>1,105</v>
      </c>
      <c r="BB44" t="str">
        <f>IF(AH44=1,"",IF(INDEX($B$6:$Y$23,($AC$3-1-1)*$AC$4+AJ44+1,1*$AC$5+AI44+1)="","",TEXT(INDEX($B$6:$Y$23,($AC$3-1-1)*$AC$4+AJ44+1,1*$AC$5+AI44+1),"#,##0")))</f>
        <v>1,044</v>
      </c>
      <c r="BC44" t="str">
        <f>IF(AH44=1,"",IF(INDEX($B$6:$Y$23,($AC$3-1-2)*$AC$4+AJ44+1,0*$AC$5+AI44+1)="","",TEXT(INDEX($B$6:$Y$23,($AC$3-1-2)*$AC$4+AJ44+1,0*$AC$5+AI44+1),"#,##0")))</f>
        <v>500</v>
      </c>
      <c r="BD44" t="str">
        <f>IF(AH44=1,"",IF(INDEX($B$6:$Y$23,($AC$3-1-2)*$AC$4+AJ44+1,1*$AC$5+AI44+1)="","",TEXT(INDEX($B$6:$Y$23,($AC$3-1-2)*$AC$4+AJ44+1,1*$AC$5+AI44+1),"#,##0")))</f>
        <v>457</v>
      </c>
      <c r="BE44" t="str">
        <f>IF(AH44=1,"",IF(INDEX($B$6:$Y$23,($AC$3-1-3)*$AC$4+AJ44+1,0*$AC$5+AI44+1)="","",TEXT(INDEX($B$6:$Y$23,($AC$3-1-3)*$AC$4+AJ44+1,0*$AC$5+AI44+1),"#,##0")))</f>
        <v>561</v>
      </c>
      <c r="BF44" t="str">
        <f>IF(AH44=1,"",IF(INDEX($B$6:$Y$23,($AC$3-1-3)*$AC$4+AJ44+1,1*$AC$5+AI44+1)="","",TEXT(INDEX($B$6:$Y$23,($AC$3-1-3)*$AC$4+AJ44+1,1*$AC$5+AI44+1),"#,##0")))</f>
        <v>516</v>
      </c>
      <c r="BG44" t="str">
        <f>IF(AH44=1,"",IF(INDEX($B$6:$Y$23,($AC$3-1-4)*$AC$4+AJ44+1,0*$AC$5+AI44+1)="","",TEXT(INDEX($B$6:$Y$23,($AC$3-1-4)*$AC$4+AJ44+1,0*$AC$5+AI44+1),"#,##0")))</f>
        <v>621</v>
      </c>
      <c r="BH44" t="str">
        <f>IF(AH44=1,"",IF(INDEX($B$6:$Y$23,($AC$3-1-4)*$AC$4+AJ44+1,1*$AC$5+AI44+1)="","",TEXT(INDEX($B$6:$Y$23,($AC$3-1-4)*$AC$4+AJ44+1,1*$AC$5+AI44+1),"#,##0")))</f>
        <v>574</v>
      </c>
      <c r="BI44" t="str">
        <f>IF(AH44=1,"",IF(INDEX($B$6:$Y$23,($AC$3-1-5)*$AC$4+AJ44+1,0*$AC$5+AI44+1)="","",TEXT(INDEX($B$6:$Y$23,($AC$3-1-5)*$AC$4+AJ44+1,0*$AC$5+AI44+1),"#,##0")))</f>
        <v>682</v>
      </c>
      <c r="BJ44" t="str">
        <f>IF(AH44=1,"",IF(INDEX($B$6:$Y$23,($AC$3-1-5)*$AC$4+AJ44+1,1*$AC$5+AI44+1)="","",TEXT(INDEX($B$6:$Y$23,($AC$3-1-5)*$AC$4+AJ44+1,1*$AC$5+AI44+1),"#,##0")))</f>
        <v>633</v>
      </c>
      <c r="BR44">
        <v>15.5</v>
      </c>
      <c r="BS44" t="e">
        <f>NA()</f>
        <v>#N/A</v>
      </c>
    </row>
    <row r="45" spans="28:79" x14ac:dyDescent="0.35">
      <c r="AB45">
        <v>22</v>
      </c>
      <c r="AC45">
        <f>AB45-$AC$12</f>
        <v>19</v>
      </c>
      <c r="AD45">
        <f>IF(AC45&lt;=0,-1,INT((AC45-1)/($AC$10+$AC$11)))</f>
        <v>1</v>
      </c>
      <c r="AE45">
        <f>IF(AC45&lt;=0,-1,MOD(AC45-1,($AC$10+$AC$11)))</f>
        <v>5</v>
      </c>
      <c r="AF45">
        <f>IF(OR(AE45&lt;0,AE45&gt;=$AC$10),-1,INT(AE45/$AC$9))</f>
        <v>5</v>
      </c>
      <c r="AG45">
        <f>IF(OR(AE45&lt;0,AE45&gt;=$AC$10),-1,MOD(AE45,$AC$9))</f>
        <v>0</v>
      </c>
      <c r="AH45">
        <f>IF(OR(AC45&lt;=0,AE45&lt;0,AE45&gt;=$AC$10,AD45&gt;=$AC$7),1,0)</f>
        <v>0</v>
      </c>
      <c r="AI45">
        <f>IF(AH45=1,-1,AF45)</f>
        <v>5</v>
      </c>
      <c r="AJ45">
        <f>IF(AH45=1,-1,AD45)</f>
        <v>1</v>
      </c>
      <c r="AK45" t="str">
        <f>IF(AH45=1,"",IF(AND(MOD(AI45,3)=0,AG45=INT(($AC$9-1)/2)),INDEX($B$5:$M$5,AI45+1),""))</f>
        <v/>
      </c>
      <c r="AL45">
        <f>IF(AH45=1,NA(),IF(INDEX($B$6:$Y$23,($AC$3-1-0)*$AC$4+AJ45+1,0*$AC$5+AI45+1)="",NA(),0+(INDEX($B$6:$Y$23,($AC$3-1-0)*$AC$4+AJ45+1,0*$AC$5+AI45+1)-$AC$17)/$AC$19*$AC$13))</f>
        <v>0.54384222222222212</v>
      </c>
      <c r="AM45">
        <f>IF(AH45=1,NA(),IF(INDEX($B$6:$Y$23,($AC$3-1-0)*$AC$4+AJ45+1,1*$AC$5+AI45+1)="",NA(),0+(INDEX($B$6:$Y$23,($AC$3-1-0)*$AC$4+AJ45+1,1*$AC$5+AI45+1)-$AC$17)/$AC$19*$AC$13))</f>
        <v>0.54366000000000003</v>
      </c>
      <c r="AN45">
        <f>IF(AH45=1,NA(),IF(INDEX($B$6:$Y$23,($AC$3-1-1)*$AC$4+AJ45+1,0*$AC$5+AI45+1)="",NA(),1+(INDEX($B$6:$Y$23,($AC$3-1-1)*$AC$4+AJ45+1,0*$AC$5+AI45+1)-$AC$17)/$AC$19*$AC$13))</f>
        <v>1.6002399999999999</v>
      </c>
      <c r="AO45">
        <f>IF(AH45=1,NA(),IF(INDEX($B$6:$Y$23,($AC$3-1-1)*$AC$4+AJ45+1,1*$AC$5+AI45+1)="",NA(),1+(INDEX($B$6:$Y$23,($AC$3-1-1)*$AC$4+AJ45+1,1*$AC$5+AI45+1)-$AC$17)/$AC$19*$AC$13))</f>
        <v>1.5983266666666667</v>
      </c>
      <c r="AP45">
        <f>IF(AH45=1,NA(),IF(INDEX($B$6:$Y$23,($AC$3-1-2)*$AC$4+AJ45+1,0*$AC$5+AI45+1)="",NA(),2+(INDEX($B$6:$Y$23,($AC$3-1-2)*$AC$4+AJ45+1,0*$AC$5+AI45+1)-$AC$17)/$AC$19*$AC$13))</f>
        <v>2.0364444444444443</v>
      </c>
      <c r="AQ45">
        <f>IF(AH45=1,NA(),IF(INDEX($B$6:$Y$23,($AC$3-1-2)*$AC$4+AJ45+1,1*$AC$5+AI45+1)="",NA(),2+(INDEX($B$6:$Y$23,($AC$3-1-2)*$AC$4+AJ45+1,1*$AC$5+AI45+1)-$AC$17)/$AC$19*$AC$13))</f>
        <v>2.051477777777778</v>
      </c>
      <c r="AR45">
        <f>IF(AH45=1,NA(),IF(INDEX($B$6:$Y$23,($AC$3-1-3)*$AC$4+AJ45+1,0*$AC$5+AI45+1)="",NA(),3+(INDEX($B$6:$Y$23,($AC$3-1-3)*$AC$4+AJ45+1,0*$AC$5+AI45+1)-$AC$17)/$AC$19*$AC$13))</f>
        <v>3.092842222222222</v>
      </c>
      <c r="AS45">
        <f>IF(AH45=1,NA(),IF(INDEX($B$6:$Y$23,($AC$3-1-3)*$AC$4+AJ45+1,1*$AC$5+AI45+1)="",NA(),3+(INDEX($B$6:$Y$23,($AC$3-1-3)*$AC$4+AJ45+1,1*$AC$5+AI45+1)-$AC$17)/$AC$19*$AC$13))</f>
        <v>3.1061444444444444</v>
      </c>
      <c r="AT45">
        <f>IF(AH45=1,NA(),IF(INDEX($B$6:$Y$23,($AC$3-1-4)*$AC$4+AJ45+1,0*$AC$5+AI45+1)="",NA(),4+(INDEX($B$6:$Y$23,($AC$3-1-4)*$AC$4+AJ45+1,0*$AC$5+AI45+1)-$AC$17)/$AC$19*$AC$13))</f>
        <v>4.1492399999999998</v>
      </c>
      <c r="AU45">
        <f>IF(AH45=1,NA(),IF(INDEX($B$6:$Y$23,($AC$3-1-4)*$AC$4+AJ45+1,1*$AC$5+AI45+1)="",NA(),4+(INDEX($B$6:$Y$23,($AC$3-1-4)*$AC$4+AJ45+1,1*$AC$5+AI45+1)-$AC$17)/$AC$19*$AC$13))</f>
        <v>4.1608111111111112</v>
      </c>
      <c r="AV45">
        <f>IF(AH45=1,NA(),IF(INDEX($B$6:$Y$23,($AC$3-1-5)*$AC$4+AJ45+1,0*$AC$5+AI45+1)="",NA(),5+(INDEX($B$6:$Y$23,($AC$3-1-5)*$AC$4+AJ45+1,0*$AC$5+AI45+1)-$AC$17)/$AC$19*$AC$13))</f>
        <v>5.2055466666666668</v>
      </c>
      <c r="AW45">
        <f>IF(AH45=1,NA(),IF(INDEX($B$6:$Y$23,($AC$3-1-5)*$AC$4+AJ45+1,1*$AC$5+AI45+1)="",NA(),5+(INDEX($B$6:$Y$23,($AC$3-1-5)*$AC$4+AJ45+1,1*$AC$5+AI45+1)-$AC$17)/$AC$19*$AC$13))</f>
        <v>5.2155688888888889</v>
      </c>
      <c r="AY45" t="str">
        <f>IF(AH45=1,"",IF(INDEX($B$6:$Y$23,($AC$3-1-0)*$AC$4+AJ45+1,0*$AC$5+AI45+1)="","",TEXT(INDEX($B$6:$Y$23,($AC$3-1-0)*$AC$4+AJ45+1,0*$AC$5+AI45+1),"#,##0")))</f>
        <v>947</v>
      </c>
      <c r="AZ45" t="str">
        <f>IF(AH45=1,"",IF(INDEX($B$6:$Y$23,($AC$3-1-0)*$AC$4+AJ45+1,1*$AC$5+AI45+1)="","",TEXT(INDEX($B$6:$Y$23,($AC$3-1-0)*$AC$4+AJ45+1,1*$AC$5+AI45+1),"#,##0")))</f>
        <v>947</v>
      </c>
      <c r="BA45" t="str">
        <f>IF(AH45=1,"",IF(INDEX($B$6:$Y$23,($AC$3-1-1)*$AC$4+AJ45+1,0*$AC$5+AI45+1)="","",TEXT(INDEX($B$6:$Y$23,($AC$3-1-1)*$AC$4+AJ45+1,0*$AC$5+AI45+1),"#,##0")))</f>
        <v>1,009</v>
      </c>
      <c r="BB45" t="str">
        <f>IF(AH45=1,"",IF(INDEX($B$6:$Y$23,($AC$3-1-1)*$AC$4+AJ45+1,1*$AC$5+AI45+1)="","",TEXT(INDEX($B$6:$Y$23,($AC$3-1-1)*$AC$4+AJ45+1,1*$AC$5+AI45+1),"#,##0")))</f>
        <v>1,007</v>
      </c>
      <c r="BC45" t="str">
        <f>IF(AH45=1,"",IF(INDEX($B$6:$Y$23,($AC$3-1-2)*$AC$4+AJ45+1,0*$AC$5+AI45+1)="","",TEXT(INDEX($B$6:$Y$23,($AC$3-1-2)*$AC$4+AJ45+1,0*$AC$5+AI45+1),"#,##0")))</f>
        <v>390</v>
      </c>
      <c r="BD45" t="str">
        <f>IF(AH45=1,"",IF(INDEX($B$6:$Y$23,($AC$3-1-2)*$AC$4+AJ45+1,1*$AC$5+AI45+1)="","",TEXT(INDEX($B$6:$Y$23,($AC$3-1-2)*$AC$4+AJ45+1,1*$AC$5+AI45+1),"#,##0")))</f>
        <v>407</v>
      </c>
      <c r="BE45" t="str">
        <f>IF(AH45=1,"",IF(INDEX($B$6:$Y$23,($AC$3-1-3)*$AC$4+AJ45+1,0*$AC$5+AI45+1)="","",TEXT(INDEX($B$6:$Y$23,($AC$3-1-3)*$AC$4+AJ45+1,0*$AC$5+AI45+1),"#,##0")))</f>
        <v>452</v>
      </c>
      <c r="BF45" t="str">
        <f>IF(AH45=1,"",IF(INDEX($B$6:$Y$23,($AC$3-1-3)*$AC$4+AJ45+1,1*$AC$5+AI45+1)="","",TEXT(INDEX($B$6:$Y$23,($AC$3-1-3)*$AC$4+AJ45+1,1*$AC$5+AI45+1),"#,##0")))</f>
        <v>467</v>
      </c>
      <c r="BG45" t="str">
        <f>IF(AH45=1,"",IF(INDEX($B$6:$Y$23,($AC$3-1-4)*$AC$4+AJ45+1,0*$AC$5+AI45+1)="","",TEXT(INDEX($B$6:$Y$23,($AC$3-1-4)*$AC$4+AJ45+1,0*$AC$5+AI45+1),"#,##0")))</f>
        <v>514</v>
      </c>
      <c r="BH45" t="str">
        <f>IF(AH45=1,"",IF(INDEX($B$6:$Y$23,($AC$3-1-4)*$AC$4+AJ45+1,1*$AC$5+AI45+1)="","",TEXT(INDEX($B$6:$Y$23,($AC$3-1-4)*$AC$4+AJ45+1,1*$AC$5+AI45+1),"#,##0")))</f>
        <v>527</v>
      </c>
      <c r="BI45" t="str">
        <f>IF(AH45=1,"",IF(INDEX($B$6:$Y$23,($AC$3-1-5)*$AC$4+AJ45+1,0*$AC$5+AI45+1)="","",TEXT(INDEX($B$6:$Y$23,($AC$3-1-5)*$AC$4+AJ45+1,0*$AC$5+AI45+1),"#,##0")))</f>
        <v>576</v>
      </c>
      <c r="BJ45" t="str">
        <f>IF(AH45=1,"",IF(INDEX($B$6:$Y$23,($AC$3-1-5)*$AC$4+AJ45+1,1*$AC$5+AI45+1)="","",TEXT(INDEX($B$6:$Y$23,($AC$3-1-5)*$AC$4+AJ45+1,1*$AC$5+AI45+1),"#,##0")))</f>
        <v>587</v>
      </c>
      <c r="BR45">
        <v>16.5</v>
      </c>
      <c r="BS45" t="e">
        <f>IF(OR($AC$17&gt;0,$AC$18&lt;0),NA(),2+$AC$20)</f>
        <v>#N/A</v>
      </c>
    </row>
    <row r="46" spans="28:79" x14ac:dyDescent="0.35">
      <c r="AB46">
        <v>23</v>
      </c>
      <c r="AC46">
        <f>AB46-$AC$12</f>
        <v>20</v>
      </c>
      <c r="AD46">
        <f>IF(AC46&lt;=0,-1,INT((AC46-1)/($AC$10+$AC$11)))</f>
        <v>1</v>
      </c>
      <c r="AE46">
        <f>IF(AC46&lt;=0,-1,MOD(AC46-1,($AC$10+$AC$11)))</f>
        <v>6</v>
      </c>
      <c r="AF46">
        <f>IF(OR(AE46&lt;0,AE46&gt;=$AC$10),-1,INT(AE46/$AC$9))</f>
        <v>6</v>
      </c>
      <c r="AG46">
        <f>IF(OR(AE46&lt;0,AE46&gt;=$AC$10),-1,MOD(AE46,$AC$9))</f>
        <v>0</v>
      </c>
      <c r="AH46">
        <f>IF(OR(AC46&lt;=0,AE46&lt;0,AE46&gt;=$AC$10,AD46&gt;=$AC$7),1,0)</f>
        <v>0</v>
      </c>
      <c r="AI46">
        <f>IF(AH46=1,-1,AF46)</f>
        <v>6</v>
      </c>
      <c r="AJ46">
        <f>IF(AH46=1,-1,AD46)</f>
        <v>1</v>
      </c>
      <c r="AK46" t="str">
        <f>IF(AH46=1,"",IF(AND(MOD(AI46,3)=0,AG46=INT(($AC$9-1)/2)),INDEX($B$5:$M$5,AI46+1),""))</f>
        <v>Jul</v>
      </c>
      <c r="AL46">
        <f>IF(AH46=1,NA(),IF(INDEX($B$6:$Y$23,($AC$3-1-0)*$AC$4+AJ46+1,0*$AC$5+AI46+1)="",NA(),0+(INDEX($B$6:$Y$23,($AC$3-1-0)*$AC$4+AJ46+1,0*$AC$5+AI46+1)-$AC$17)/$AC$19*$AC$13))</f>
        <v>0.61882666666666664</v>
      </c>
      <c r="AM46">
        <f>IF(AH46=1,NA(),IF(INDEX($B$6:$Y$23,($AC$3-1-0)*$AC$4+AJ46+1,1*$AC$5+AI46+1)="",NA(),0+(INDEX($B$6:$Y$23,($AC$3-1-0)*$AC$4+AJ46+1,1*$AC$5+AI46+1)-$AC$17)/$AC$19*$AC$13))</f>
        <v>0.59076444444444443</v>
      </c>
      <c r="AN46">
        <f>IF(AH46=1,NA(),IF(INDEX($B$6:$Y$23,($AC$3-1-1)*$AC$4+AJ46+1,0*$AC$5+AI46+1)="",NA(),1+(INDEX($B$6:$Y$23,($AC$3-1-1)*$AC$4+AJ46+1,0*$AC$5+AI46+1)-$AC$17)/$AC$19*$AC$13))</f>
        <v>1.6764999999999999</v>
      </c>
      <c r="AO46">
        <f>IF(AH46=1,NA(),IF(INDEX($B$6:$Y$23,($AC$3-1-1)*$AC$4+AJ46+1,1*$AC$5+AI46+1)="",NA(),1+(INDEX($B$6:$Y$23,($AC$3-1-1)*$AC$4+AJ46+1,1*$AC$5+AI46+1)-$AC$17)/$AC$19*$AC$13))</f>
        <v>1.6466155555555555</v>
      </c>
      <c r="AP46">
        <f>IF(AH46=1,NA(),IF(INDEX($B$6:$Y$23,($AC$3-1-2)*$AC$4+AJ46+1,0*$AC$5+AI46+1)="",NA(),2+(INDEX($B$6:$Y$23,($AC$3-1-2)*$AC$4+AJ46+1,0*$AC$5+AI46+1)-$AC$17)/$AC$19*$AC$13))</f>
        <v>2.1002222222222224</v>
      </c>
      <c r="AQ46">
        <f>IF(AH46=1,NA(),IF(INDEX($B$6:$Y$23,($AC$3-1-2)*$AC$4+AJ46+1,1*$AC$5+AI46+1)="",NA(),2+(INDEX($B$6:$Y$23,($AC$3-1-2)*$AC$4+AJ46+1,1*$AC$5+AI46+1)-$AC$17)/$AC$19*$AC$13))</f>
        <v>2.0876488888888889</v>
      </c>
      <c r="AR46">
        <f>IF(AH46=1,NA(),IF(INDEX($B$6:$Y$23,($AC$3-1-3)*$AC$4+AJ46+1,0*$AC$5+AI46+1)="",NA(),3+(INDEX($B$6:$Y$23,($AC$3-1-3)*$AC$4+AJ46+1,0*$AC$5+AI46+1)-$AC$17)/$AC$19*$AC$13))</f>
        <v>3.1578044444444444</v>
      </c>
      <c r="AS46">
        <f>IF(AH46=1,NA(),IF(INDEX($B$6:$Y$23,($AC$3-1-3)*$AC$4+AJ46+1,1*$AC$5+AI46+1)="",NA(),3+(INDEX($B$6:$Y$23,($AC$3-1-3)*$AC$4+AJ46+1,1*$AC$5+AI46+1)-$AC$17)/$AC$19*$AC$13))</f>
        <v>3.1435911111111112</v>
      </c>
      <c r="AT46">
        <f>IF(AH46=1,NA(),IF(INDEX($B$6:$Y$23,($AC$3-1-4)*$AC$4+AJ46+1,0*$AC$5+AI46+1)="",NA(),4+(INDEX($B$6:$Y$23,($AC$3-1-4)*$AC$4+AJ46+1,0*$AC$5+AI46+1)-$AC$17)/$AC$19*$AC$13))</f>
        <v>4.2154777777777781</v>
      </c>
      <c r="AU46">
        <f>IF(AH46=1,NA(),IF(INDEX($B$6:$Y$23,($AC$3-1-4)*$AC$4+AJ46+1,1*$AC$5+AI46+1)="",NA(),4+(INDEX($B$6:$Y$23,($AC$3-1-4)*$AC$4+AJ46+1,1*$AC$5+AI46+1)-$AC$17)/$AC$19*$AC$13))</f>
        <v>4.1994422222222223</v>
      </c>
      <c r="AV46">
        <f>IF(AH46=1,NA(),IF(INDEX($B$6:$Y$23,($AC$3-1-5)*$AC$4+AJ46+1,0*$AC$5+AI46+1)="",NA(),5+(INDEX($B$6:$Y$23,($AC$3-1-5)*$AC$4+AJ46+1,0*$AC$5+AI46+1)-$AC$17)/$AC$19*$AC$13))</f>
        <v>5.2731511111111109</v>
      </c>
      <c r="AW46">
        <f>IF(AH46=1,NA(),IF(INDEX($B$6:$Y$23,($AC$3-1-5)*$AC$4+AJ46+1,1*$AC$5+AI46+1)="",NA(),5+(INDEX($B$6:$Y$23,($AC$3-1-5)*$AC$4+AJ46+1,1*$AC$5+AI46+1)-$AC$17)/$AC$19*$AC$13))</f>
        <v>5.2553844444444442</v>
      </c>
      <c r="AY46" t="str">
        <f>IF(AH46=1,"",IF(INDEX($B$6:$Y$23,($AC$3-1-0)*$AC$4+AJ46+1,0*$AC$5+AI46+1)="","",TEXT(INDEX($B$6:$Y$23,($AC$3-1-0)*$AC$4+AJ46+1,0*$AC$5+AI46+1),"#,##0")))</f>
        <v>1,029</v>
      </c>
      <c r="AZ46" t="str">
        <f>IF(AH46=1,"",IF(INDEX($B$6:$Y$23,($AC$3-1-0)*$AC$4+AJ46+1,1*$AC$5+AI46+1)="","",TEXT(INDEX($B$6:$Y$23,($AC$3-1-0)*$AC$4+AJ46+1,1*$AC$5+AI46+1),"#,##0")))</f>
        <v>998</v>
      </c>
      <c r="BA46" t="str">
        <f>IF(AH46=1,"",IF(INDEX($B$6:$Y$23,($AC$3-1-1)*$AC$4+AJ46+1,0*$AC$5+AI46+1)="","",TEXT(INDEX($B$6:$Y$23,($AC$3-1-1)*$AC$4+AJ46+1,0*$AC$5+AI46+1),"#,##0")))</f>
        <v>1,093</v>
      </c>
      <c r="BB46" t="str">
        <f>IF(AH46=1,"",IF(INDEX($B$6:$Y$23,($AC$3-1-1)*$AC$4+AJ46+1,1*$AC$5+AI46+1)="","",TEXT(INDEX($B$6:$Y$23,($AC$3-1-1)*$AC$4+AJ46+1,1*$AC$5+AI46+1),"#,##0")))</f>
        <v>1,060</v>
      </c>
      <c r="BC46" t="str">
        <f>IF(AH46=1,"",IF(INDEX($B$6:$Y$23,($AC$3-1-2)*$AC$4+AJ46+1,0*$AC$5+AI46+1)="","",TEXT(INDEX($B$6:$Y$23,($AC$3-1-2)*$AC$4+AJ46+1,0*$AC$5+AI46+1),"#,##0")))</f>
        <v>460</v>
      </c>
      <c r="BD46" t="str">
        <f>IF(AH46=1,"",IF(INDEX($B$6:$Y$23,($AC$3-1-2)*$AC$4+AJ46+1,1*$AC$5+AI46+1)="","",TEXT(INDEX($B$6:$Y$23,($AC$3-1-2)*$AC$4+AJ46+1,1*$AC$5+AI46+1),"#,##0")))</f>
        <v>446</v>
      </c>
      <c r="BE46" t="str">
        <f>IF(AH46=1,"",IF(INDEX($B$6:$Y$23,($AC$3-1-3)*$AC$4+AJ46+1,0*$AC$5+AI46+1)="","",TEXT(INDEX($B$6:$Y$23,($AC$3-1-3)*$AC$4+AJ46+1,0*$AC$5+AI46+1),"#,##0")))</f>
        <v>523</v>
      </c>
      <c r="BF46" t="str">
        <f>IF(AH46=1,"",IF(INDEX($B$6:$Y$23,($AC$3-1-3)*$AC$4+AJ46+1,1*$AC$5+AI46+1)="","",TEXT(INDEX($B$6:$Y$23,($AC$3-1-3)*$AC$4+AJ46+1,1*$AC$5+AI46+1),"#,##0")))</f>
        <v>508</v>
      </c>
      <c r="BG46" t="str">
        <f>IF(AH46=1,"",IF(INDEX($B$6:$Y$23,($AC$3-1-4)*$AC$4+AJ46+1,0*$AC$5+AI46+1)="","",TEXT(INDEX($B$6:$Y$23,($AC$3-1-4)*$AC$4+AJ46+1,0*$AC$5+AI46+1),"#,##0")))</f>
        <v>587</v>
      </c>
      <c r="BH46" t="str">
        <f>IF(AH46=1,"",IF(INDEX($B$6:$Y$23,($AC$3-1-4)*$AC$4+AJ46+1,1*$AC$5+AI46+1)="","",TEXT(INDEX($B$6:$Y$23,($AC$3-1-4)*$AC$4+AJ46+1,1*$AC$5+AI46+1),"#,##0")))</f>
        <v>569</v>
      </c>
      <c r="BI46" t="str">
        <f>IF(AH46=1,"",IF(INDEX($B$6:$Y$23,($AC$3-1-5)*$AC$4+AJ46+1,0*$AC$5+AI46+1)="","",TEXT(INDEX($B$6:$Y$23,($AC$3-1-5)*$AC$4+AJ46+1,0*$AC$5+AI46+1),"#,##0")))</f>
        <v>650</v>
      </c>
      <c r="BJ46" t="str">
        <f>IF(AH46=1,"",IF(INDEX($B$6:$Y$23,($AC$3-1-5)*$AC$4+AJ46+1,1*$AC$5+AI46+1)="","",TEXT(INDEX($B$6:$Y$23,($AC$3-1-5)*$AC$4+AJ46+1,1*$AC$5+AI46+1),"#,##0")))</f>
        <v>630</v>
      </c>
      <c r="BR46">
        <v>28.5</v>
      </c>
      <c r="BS46" t="e">
        <f>IF(OR($AC$17&gt;0,$AC$18&lt;0),NA(),2+$AC$20)</f>
        <v>#N/A</v>
      </c>
    </row>
    <row r="47" spans="28:79" x14ac:dyDescent="0.35">
      <c r="AB47">
        <v>24</v>
      </c>
      <c r="AC47">
        <f>AB47-$AC$12</f>
        <v>21</v>
      </c>
      <c r="AD47">
        <f>IF(AC47&lt;=0,-1,INT((AC47-1)/($AC$10+$AC$11)))</f>
        <v>1</v>
      </c>
      <c r="AE47">
        <f>IF(AC47&lt;=0,-1,MOD(AC47-1,($AC$10+$AC$11)))</f>
        <v>7</v>
      </c>
      <c r="AF47">
        <f>IF(OR(AE47&lt;0,AE47&gt;=$AC$10),-1,INT(AE47/$AC$9))</f>
        <v>7</v>
      </c>
      <c r="AG47">
        <f>IF(OR(AE47&lt;0,AE47&gt;=$AC$10),-1,MOD(AE47,$AC$9))</f>
        <v>0</v>
      </c>
      <c r="AH47">
        <f>IF(OR(AC47&lt;=0,AE47&lt;0,AE47&gt;=$AC$10,AD47&gt;=$AC$7),1,0)</f>
        <v>0</v>
      </c>
      <c r="AI47">
        <f>IF(AH47=1,-1,AF47)</f>
        <v>7</v>
      </c>
      <c r="AJ47">
        <f>IF(AH47=1,-1,AD47)</f>
        <v>1</v>
      </c>
      <c r="AK47" t="str">
        <f>IF(AH47=1,"",IF(AND(MOD(AI47,3)=0,AG47=INT(($AC$9-1)/2)),INDEX($B$5:$M$5,AI47+1),""))</f>
        <v/>
      </c>
      <c r="AL47">
        <f>IF(AH47=1,NA(),IF(INDEX($B$6:$Y$23,($AC$3-1-0)*$AC$4+AJ47+1,0*$AC$5+AI47+1)="",NA(),0+(INDEX($B$6:$Y$23,($AC$3-1-0)*$AC$4+AJ47+1,0*$AC$5+AI47+1)-$AC$17)/$AC$19*$AC$13))</f>
        <v>0.69390222222222209</v>
      </c>
      <c r="AM47">
        <f>IF(AH47=1,NA(),IF(INDEX($B$6:$Y$23,($AC$3-1-0)*$AC$4+AJ47+1,1*$AC$5+AI47+1)="",NA(),0+(INDEX($B$6:$Y$23,($AC$3-1-0)*$AC$4+AJ47+1,1*$AC$5+AI47+1)-$AC$17)/$AC$19*$AC$13))</f>
        <v>0.63786888888888871</v>
      </c>
      <c r="AN47">
        <f>IF(AH47=1,NA(),IF(INDEX($B$6:$Y$23,($AC$3-1-1)*$AC$4+AJ47+1,0*$AC$5+AI47+1)="",NA(),1+(INDEX($B$6:$Y$23,($AC$3-1-1)*$AC$4+AJ47+1,0*$AC$5+AI47+1)-$AC$17)/$AC$19*$AC$13))</f>
        <v>1.7527599999999999</v>
      </c>
      <c r="AO47">
        <f>IF(AH47=1,NA(),IF(INDEX($B$6:$Y$23,($AC$3-1-1)*$AC$4+AJ47+1,1*$AC$5+AI47+1)="",NA(),1+(INDEX($B$6:$Y$23,($AC$3-1-1)*$AC$4+AJ47+1,1*$AC$5+AI47+1)-$AC$17)/$AC$19*$AC$13))</f>
        <v>1.6949955555555554</v>
      </c>
      <c r="AP47">
        <f>IF(AH47=1,NA(),IF(INDEX($B$6:$Y$23,($AC$3-1-2)*$AC$4+AJ47+1,0*$AC$5+AI47+1)="",NA(),2+(INDEX($B$6:$Y$23,($AC$3-1-2)*$AC$4+AJ47+1,0*$AC$5+AI47+1)-$AC$17)/$AC$19*$AC$13))</f>
        <v>2.1640000000000001</v>
      </c>
      <c r="AQ47">
        <f>IF(AH47=1,NA(),IF(INDEX($B$6:$Y$23,($AC$3-1-2)*$AC$4+AJ47+1,1*$AC$5+AI47+1)="",NA(),2+(INDEX($B$6:$Y$23,($AC$3-1-2)*$AC$4+AJ47+1,1*$AC$5+AI47+1)-$AC$17)/$AC$19*$AC$13))</f>
        <v>2.1238199999999998</v>
      </c>
      <c r="AR47">
        <f>IF(AH47=1,NA(),IF(INDEX($B$6:$Y$23,($AC$3-1-3)*$AC$4+AJ47+1,0*$AC$5+AI47+1)="",NA(),3+(INDEX($B$6:$Y$23,($AC$3-1-3)*$AC$4+AJ47+1,0*$AC$5+AI47+1)-$AC$17)/$AC$19*$AC$13))</f>
        <v>3.2228577777777776</v>
      </c>
      <c r="AS47">
        <f>IF(AH47=1,NA(),IF(INDEX($B$6:$Y$23,($AC$3-1-3)*$AC$4+AJ47+1,1*$AC$5+AI47+1)="",NA(),3+(INDEX($B$6:$Y$23,($AC$3-1-3)*$AC$4+AJ47+1,1*$AC$5+AI47+1)-$AC$17)/$AC$19*$AC$13))</f>
        <v>3.1809466666666668</v>
      </c>
      <c r="AT47">
        <f>IF(AH47=1,NA(),IF(INDEX($B$6:$Y$23,($AC$3-1-4)*$AC$4+AJ47+1,0*$AC$5+AI47+1)="",NA(),4+(INDEX($B$6:$Y$23,($AC$3-1-4)*$AC$4+AJ47+1,0*$AC$5+AI47+1)-$AC$17)/$AC$19*$AC$13))</f>
        <v>4.2817155555555555</v>
      </c>
      <c r="AU47">
        <f>IF(AH47=1,NA(),IF(INDEX($B$6:$Y$23,($AC$3-1-4)*$AC$4+AJ47+1,1*$AC$5+AI47+1)="",NA(),4+(INDEX($B$6:$Y$23,($AC$3-1-4)*$AC$4+AJ47+1,1*$AC$5+AI47+1)-$AC$17)/$AC$19*$AC$13))</f>
        <v>4.2380733333333334</v>
      </c>
      <c r="AV47">
        <f>IF(AH47=1,NA(),IF(INDEX($B$6:$Y$23,($AC$3-1-5)*$AC$4+AJ47+1,0*$AC$5+AI47+1)="",NA(),5+(INDEX($B$6:$Y$23,($AC$3-1-5)*$AC$4+AJ47+1,0*$AC$5+AI47+1)-$AC$17)/$AC$19*$AC$13))</f>
        <v>5.3406644444444442</v>
      </c>
      <c r="AW47">
        <f>IF(AH47=1,NA(),IF(INDEX($B$6:$Y$23,($AC$3-1-5)*$AC$4+AJ47+1,1*$AC$5+AI47+1)="",NA(),5+(INDEX($B$6:$Y$23,($AC$3-1-5)*$AC$4+AJ47+1,1*$AC$5+AI47+1)-$AC$17)/$AC$19*$AC$13))</f>
        <v>5.2952000000000004</v>
      </c>
      <c r="AY47" t="str">
        <f>IF(AH47=1,"",IF(INDEX($B$6:$Y$23,($AC$3-1-0)*$AC$4+AJ47+1,0*$AC$5+AI47+1)="","",TEXT(INDEX($B$6:$Y$23,($AC$3-1-0)*$AC$4+AJ47+1,0*$AC$5+AI47+1),"#,##0")))</f>
        <v>1,112</v>
      </c>
      <c r="AZ47" t="str">
        <f>IF(AH47=1,"",IF(INDEX($B$6:$Y$23,($AC$3-1-0)*$AC$4+AJ47+1,1*$AC$5+AI47+1)="","",TEXT(INDEX($B$6:$Y$23,($AC$3-1-0)*$AC$4+AJ47+1,1*$AC$5+AI47+1),"#,##0")))</f>
        <v>1,050</v>
      </c>
      <c r="BA47" t="str">
        <f>IF(AH47=1,"",IF(INDEX($B$6:$Y$23,($AC$3-1-1)*$AC$4+AJ47+1,0*$AC$5+AI47+1)="","",TEXT(INDEX($B$6:$Y$23,($AC$3-1-1)*$AC$4+AJ47+1,0*$AC$5+AI47+1),"#,##0")))</f>
        <v>1,176</v>
      </c>
      <c r="BB47" t="str">
        <f>IF(AH47=1,"",IF(INDEX($B$6:$Y$23,($AC$3-1-1)*$AC$4+AJ47+1,1*$AC$5+AI47+1)="","",TEXT(INDEX($B$6:$Y$23,($AC$3-1-1)*$AC$4+AJ47+1,1*$AC$5+AI47+1),"#,##0")))</f>
        <v>1,113</v>
      </c>
      <c r="BC47" t="str">
        <f>IF(AH47=1,"",IF(INDEX($B$6:$Y$23,($AC$3-1-2)*$AC$4+AJ47+1,0*$AC$5+AI47+1)="","",TEXT(INDEX($B$6:$Y$23,($AC$3-1-2)*$AC$4+AJ47+1,0*$AC$5+AI47+1),"#,##0")))</f>
        <v>530</v>
      </c>
      <c r="BD47" t="str">
        <f>IF(AH47=1,"",IF(INDEX($B$6:$Y$23,($AC$3-1-2)*$AC$4+AJ47+1,1*$AC$5+AI47+1)="","",TEXT(INDEX($B$6:$Y$23,($AC$3-1-2)*$AC$4+AJ47+1,1*$AC$5+AI47+1),"#,##0")))</f>
        <v>486</v>
      </c>
      <c r="BE47" t="str">
        <f>IF(AH47=1,"",IF(INDEX($B$6:$Y$23,($AC$3-1-3)*$AC$4+AJ47+1,0*$AC$5+AI47+1)="","",TEXT(INDEX($B$6:$Y$23,($AC$3-1-3)*$AC$4+AJ47+1,0*$AC$5+AI47+1),"#,##0")))</f>
        <v>595</v>
      </c>
      <c r="BF47" t="str">
        <f>IF(AH47=1,"",IF(INDEX($B$6:$Y$23,($AC$3-1-3)*$AC$4+AJ47+1,1*$AC$5+AI47+1)="","",TEXT(INDEX($B$6:$Y$23,($AC$3-1-3)*$AC$4+AJ47+1,1*$AC$5+AI47+1),"#,##0")))</f>
        <v>549</v>
      </c>
      <c r="BG47" t="str">
        <f>IF(AH47=1,"",IF(INDEX($B$6:$Y$23,($AC$3-1-4)*$AC$4+AJ47+1,0*$AC$5+AI47+1)="","",TEXT(INDEX($B$6:$Y$23,($AC$3-1-4)*$AC$4+AJ47+1,0*$AC$5+AI47+1),"#,##0")))</f>
        <v>659</v>
      </c>
      <c r="BH47" t="str">
        <f>IF(AH47=1,"",IF(INDEX($B$6:$Y$23,($AC$3-1-4)*$AC$4+AJ47+1,1*$AC$5+AI47+1)="","",TEXT(INDEX($B$6:$Y$23,($AC$3-1-4)*$AC$4+AJ47+1,1*$AC$5+AI47+1),"#,##0")))</f>
        <v>611</v>
      </c>
      <c r="BI47" t="str">
        <f>IF(AH47=1,"",IF(INDEX($B$6:$Y$23,($AC$3-1-5)*$AC$4+AJ47+1,0*$AC$5+AI47+1)="","",TEXT(INDEX($B$6:$Y$23,($AC$3-1-5)*$AC$4+AJ47+1,0*$AC$5+AI47+1),"#,##0")))</f>
        <v>724</v>
      </c>
      <c r="BJ47" t="str">
        <f>IF(AH47=1,"",IF(INDEX($B$6:$Y$23,($AC$3-1-5)*$AC$4+AJ47+1,1*$AC$5+AI47+1)="","",TEXT(INDEX($B$6:$Y$23,($AC$3-1-5)*$AC$4+AJ47+1,1*$AC$5+AI47+1),"#,##0")))</f>
        <v>674</v>
      </c>
      <c r="BR47">
        <v>28.5</v>
      </c>
      <c r="BS47" t="e">
        <f>NA()</f>
        <v>#N/A</v>
      </c>
    </row>
    <row r="48" spans="28:79" x14ac:dyDescent="0.35">
      <c r="AB48">
        <v>25</v>
      </c>
      <c r="AC48">
        <f>AB48-$AC$12</f>
        <v>22</v>
      </c>
      <c r="AD48">
        <f>IF(AC48&lt;=0,-1,INT((AC48-1)/($AC$10+$AC$11)))</f>
        <v>1</v>
      </c>
      <c r="AE48">
        <f>IF(AC48&lt;=0,-1,MOD(AC48-1,($AC$10+$AC$11)))</f>
        <v>8</v>
      </c>
      <c r="AF48">
        <f>IF(OR(AE48&lt;0,AE48&gt;=$AC$10),-1,INT(AE48/$AC$9))</f>
        <v>8</v>
      </c>
      <c r="AG48">
        <f>IF(OR(AE48&lt;0,AE48&gt;=$AC$10),-1,MOD(AE48,$AC$9))</f>
        <v>0</v>
      </c>
      <c r="AH48">
        <f>IF(OR(AC48&lt;=0,AE48&lt;0,AE48&gt;=$AC$10,AD48&gt;=$AC$7),1,0)</f>
        <v>0</v>
      </c>
      <c r="AI48">
        <f>IF(AH48=1,-1,AF48)</f>
        <v>8</v>
      </c>
      <c r="AJ48">
        <f>IF(AH48=1,-1,AD48)</f>
        <v>1</v>
      </c>
      <c r="AK48" t="str">
        <f>IF(AH48=1,"",IF(AND(MOD(AI48,3)=0,AG48=INT(($AC$9-1)/2)),INDEX($B$5:$M$5,AI48+1),""))</f>
        <v/>
      </c>
      <c r="AL48">
        <f>IF(AH48=1,NA(),IF(INDEX($B$6:$Y$23,($AC$3-1-0)*$AC$4+AJ48+1,0*$AC$5+AI48+1)="",NA(),0+(INDEX($B$6:$Y$23,($AC$3-1-0)*$AC$4+AJ48+1,0*$AC$5+AI48+1)-$AC$17)/$AC$19*$AC$13))</f>
        <v>0.60497777777777773</v>
      </c>
      <c r="AM48">
        <f>IF(AH48=1,NA(),IF(INDEX($B$6:$Y$23,($AC$3-1-0)*$AC$4+AJ48+1,1*$AC$5+AI48+1)="",NA(),0+(INDEX($B$6:$Y$23,($AC$3-1-0)*$AC$4+AJ48+1,1*$AC$5+AI48+1)-$AC$17)/$AC$19*$AC$13))</f>
        <v>0.60297333333333325</v>
      </c>
      <c r="AN48">
        <f>IF(AH48=1,NA(),IF(INDEX($B$6:$Y$23,($AC$3-1-1)*$AC$4+AJ48+1,0*$AC$5+AI48+1)="",NA(),1+(INDEX($B$6:$Y$23,($AC$3-1-1)*$AC$4+AJ48+1,0*$AC$5+AI48+1)-$AC$17)/$AC$19*$AC$13))</f>
        <v>1.665111111111111</v>
      </c>
      <c r="AO48">
        <f>IF(AH48=1,NA(),IF(INDEX($B$6:$Y$23,($AC$3-1-1)*$AC$4+AJ48+1,1*$AC$5+AI48+1)="",NA(),1+(INDEX($B$6:$Y$23,($AC$3-1-1)*$AC$4+AJ48+1,1*$AC$5+AI48+1)-$AC$17)/$AC$19*$AC$13))</f>
        <v>1.6612844444444443</v>
      </c>
      <c r="AP48">
        <f>IF(AH48=1,NA(),IF(INDEX($B$6:$Y$23,($AC$3-1-2)*$AC$4+AJ48+1,0*$AC$5+AI48+1)="",NA(),2+(INDEX($B$6:$Y$23,($AC$3-1-2)*$AC$4+AJ48+1,0*$AC$5+AI48+1)-$AC$17)/$AC$19*$AC$13))</f>
        <v>2.0637777777777777</v>
      </c>
      <c r="AQ48">
        <f>IF(AH48=1,NA(),IF(INDEX($B$6:$Y$23,($AC$3-1-2)*$AC$4+AJ48+1,1*$AC$5+AI48+1)="",NA(),2+(INDEX($B$6:$Y$23,($AC$3-1-2)*$AC$4+AJ48+1,1*$AC$5+AI48+1)-$AC$17)/$AC$19*$AC$13))</f>
        <v>2.0779911111111113</v>
      </c>
      <c r="AR48">
        <f>IF(AH48=1,NA(),IF(INDEX($B$6:$Y$23,($AC$3-1-3)*$AC$4+AJ48+1,0*$AC$5+AI48+1)="",NA(),3+(INDEX($B$6:$Y$23,($AC$3-1-3)*$AC$4+AJ48+1,0*$AC$5+AI48+1)-$AC$17)/$AC$19*$AC$13))</f>
        <v>3.1239111111111111</v>
      </c>
      <c r="AS48">
        <f>IF(AH48=1,NA(),IF(INDEX($B$6:$Y$23,($AC$3-1-3)*$AC$4+AJ48+1,1*$AC$5+AI48+1)="",NA(),3+(INDEX($B$6:$Y$23,($AC$3-1-3)*$AC$4+AJ48+1,1*$AC$5+AI48+1)-$AC$17)/$AC$19*$AC$13))</f>
        <v>3.1363022222222221</v>
      </c>
      <c r="AT48">
        <f>IF(AH48=1,NA(),IF(INDEX($B$6:$Y$23,($AC$3-1-4)*$AC$4+AJ48+1,0*$AC$5+AI48+1)="",NA(),4+(INDEX($B$6:$Y$23,($AC$3-1-4)*$AC$4+AJ48+1,0*$AC$5+AI48+1)-$AC$17)/$AC$19*$AC$13))</f>
        <v>4.184044444444444</v>
      </c>
      <c r="AU48">
        <f>IF(AH48=1,NA(),IF(INDEX($B$6:$Y$23,($AC$3-1-4)*$AC$4+AJ48+1,1*$AC$5+AI48+1)="",NA(),4+(INDEX($B$6:$Y$23,($AC$3-1-4)*$AC$4+AJ48+1,1*$AC$5+AI48+1)-$AC$17)/$AC$19*$AC$13))</f>
        <v>4.1946133333333337</v>
      </c>
      <c r="AV48">
        <f>IF(AH48=1,NA(),IF(INDEX($B$6:$Y$23,($AC$3-1-5)*$AC$4+AJ48+1,0*$AC$5+AI48+1)="",NA(),5+(INDEX($B$6:$Y$23,($AC$3-1-5)*$AC$4+AJ48+1,0*$AC$5+AI48+1)-$AC$17)/$AC$19*$AC$13))</f>
        <v>5.2441777777777778</v>
      </c>
      <c r="AW48">
        <f>IF(AH48=1,NA(),IF(INDEX($B$6:$Y$23,($AC$3-1-5)*$AC$4+AJ48+1,1*$AC$5+AI48+1)="",NA(),5+(INDEX($B$6:$Y$23,($AC$3-1-5)*$AC$4+AJ48+1,1*$AC$5+AI48+1)-$AC$17)/$AC$19*$AC$13))</f>
        <v>5.2530155555555558</v>
      </c>
      <c r="AY48" t="str">
        <f>IF(AH48=1,"",IF(INDEX($B$6:$Y$23,($AC$3-1-0)*$AC$4+AJ48+1,0*$AC$5+AI48+1)="","",TEXT(INDEX($B$6:$Y$23,($AC$3-1-0)*$AC$4+AJ48+1,0*$AC$5+AI48+1),"#,##0")))</f>
        <v>1,014</v>
      </c>
      <c r="AZ48" t="str">
        <f>IF(AH48=1,"",IF(INDEX($B$6:$Y$23,($AC$3-1-0)*$AC$4+AJ48+1,1*$AC$5+AI48+1)="","",TEXT(INDEX($B$6:$Y$23,($AC$3-1-0)*$AC$4+AJ48+1,1*$AC$5+AI48+1),"#,##0")))</f>
        <v>1,012</v>
      </c>
      <c r="BA48" t="str">
        <f>IF(AH48=1,"",IF(INDEX($B$6:$Y$23,($AC$3-1-1)*$AC$4+AJ48+1,0*$AC$5+AI48+1)="","",TEXT(INDEX($B$6:$Y$23,($AC$3-1-1)*$AC$4+AJ48+1,0*$AC$5+AI48+1),"#,##0")))</f>
        <v>1,080</v>
      </c>
      <c r="BB48" t="str">
        <f>IF(AH48=1,"",IF(INDEX($B$6:$Y$23,($AC$3-1-1)*$AC$4+AJ48+1,1*$AC$5+AI48+1)="","",TEXT(INDEX($B$6:$Y$23,($AC$3-1-1)*$AC$4+AJ48+1,1*$AC$5+AI48+1),"#,##0")))</f>
        <v>1,076</v>
      </c>
      <c r="BC48" t="str">
        <f>IF(AH48=1,"",IF(INDEX($B$6:$Y$23,($AC$3-1-2)*$AC$4+AJ48+1,0*$AC$5+AI48+1)="","",TEXT(INDEX($B$6:$Y$23,($AC$3-1-2)*$AC$4+AJ48+1,0*$AC$5+AI48+1),"#,##0")))</f>
        <v>420</v>
      </c>
      <c r="BD48" t="str">
        <f>IF(AH48=1,"",IF(INDEX($B$6:$Y$23,($AC$3-1-2)*$AC$4+AJ48+1,1*$AC$5+AI48+1)="","",TEXT(INDEX($B$6:$Y$23,($AC$3-1-2)*$AC$4+AJ48+1,1*$AC$5+AI48+1),"#,##0")))</f>
        <v>436</v>
      </c>
      <c r="BE48" t="str">
        <f>IF(AH48=1,"",IF(INDEX($B$6:$Y$23,($AC$3-1-3)*$AC$4+AJ48+1,0*$AC$5+AI48+1)="","",TEXT(INDEX($B$6:$Y$23,($AC$3-1-3)*$AC$4+AJ48+1,0*$AC$5+AI48+1),"#,##0")))</f>
        <v>486</v>
      </c>
      <c r="BF48" t="str">
        <f>IF(AH48=1,"",IF(INDEX($B$6:$Y$23,($AC$3-1-3)*$AC$4+AJ48+1,1*$AC$5+AI48+1)="","",TEXT(INDEX($B$6:$Y$23,($AC$3-1-3)*$AC$4+AJ48+1,1*$AC$5+AI48+1),"#,##0")))</f>
        <v>500</v>
      </c>
      <c r="BG48" t="str">
        <f>IF(AH48=1,"",IF(INDEX($B$6:$Y$23,($AC$3-1-4)*$AC$4+AJ48+1,0*$AC$5+AI48+1)="","",TEXT(INDEX($B$6:$Y$23,($AC$3-1-4)*$AC$4+AJ48+1,0*$AC$5+AI48+1),"#,##0")))</f>
        <v>552</v>
      </c>
      <c r="BH48" t="str">
        <f>IF(AH48=1,"",IF(INDEX($B$6:$Y$23,($AC$3-1-4)*$AC$4+AJ48+1,1*$AC$5+AI48+1)="","",TEXT(INDEX($B$6:$Y$23,($AC$3-1-4)*$AC$4+AJ48+1,1*$AC$5+AI48+1),"#,##0")))</f>
        <v>564</v>
      </c>
      <c r="BI48" t="str">
        <f>IF(AH48=1,"",IF(INDEX($B$6:$Y$23,($AC$3-1-5)*$AC$4+AJ48+1,0*$AC$5+AI48+1)="","",TEXT(INDEX($B$6:$Y$23,($AC$3-1-5)*$AC$4+AJ48+1,0*$AC$5+AI48+1),"#,##0")))</f>
        <v>618</v>
      </c>
      <c r="BJ48" t="str">
        <f>IF(AH48=1,"",IF(INDEX($B$6:$Y$23,($AC$3-1-5)*$AC$4+AJ48+1,1*$AC$5+AI48+1)="","",TEXT(INDEX($B$6:$Y$23,($AC$3-1-5)*$AC$4+AJ48+1,1*$AC$5+AI48+1),"#,##0")))</f>
        <v>628</v>
      </c>
      <c r="BR48">
        <v>29.5</v>
      </c>
      <c r="BS48" t="e">
        <f>IF(OR($AC$17&gt;0,$AC$18&lt;0),NA(),2+$AC$20)</f>
        <v>#N/A</v>
      </c>
    </row>
    <row r="49" spans="28:71" x14ac:dyDescent="0.35">
      <c r="AB49">
        <v>26</v>
      </c>
      <c r="AC49">
        <f>AB49-$AC$12</f>
        <v>23</v>
      </c>
      <c r="AD49">
        <f>IF(AC49&lt;=0,-1,INT((AC49-1)/($AC$10+$AC$11)))</f>
        <v>1</v>
      </c>
      <c r="AE49">
        <f>IF(AC49&lt;=0,-1,MOD(AC49-1,($AC$10+$AC$11)))</f>
        <v>9</v>
      </c>
      <c r="AF49">
        <f>IF(OR(AE49&lt;0,AE49&gt;=$AC$10),-1,INT(AE49/$AC$9))</f>
        <v>9</v>
      </c>
      <c r="AG49">
        <f>IF(OR(AE49&lt;0,AE49&gt;=$AC$10),-1,MOD(AE49,$AC$9))</f>
        <v>0</v>
      </c>
      <c r="AH49">
        <f>IF(OR(AC49&lt;=0,AE49&lt;0,AE49&gt;=$AC$10,AD49&gt;=$AC$7),1,0)</f>
        <v>0</v>
      </c>
      <c r="AI49">
        <f>IF(AH49=1,-1,AF49)</f>
        <v>9</v>
      </c>
      <c r="AJ49">
        <f>IF(AH49=1,-1,AD49)</f>
        <v>1</v>
      </c>
      <c r="AK49" t="str">
        <f>IF(AH49=1,"",IF(AND(MOD(AI49,3)=0,AG49=INT(($AC$9-1)/2)),INDEX($B$5:$M$5,AI49+1),""))</f>
        <v>Oct</v>
      </c>
      <c r="AL49">
        <f>IF(AH49=1,NA(),IF(INDEX($B$6:$Y$23,($AC$3-1-0)*$AC$4+AJ49+1,0*$AC$5+AI49+1)="",NA(),0+(INDEX($B$6:$Y$23,($AC$3-1-0)*$AC$4+AJ49+1,0*$AC$5+AI49+1)-$AC$17)/$AC$19*$AC$13))</f>
        <v>0.6800533333333334</v>
      </c>
      <c r="AM49">
        <f>IF(AH49=1,NA(),IF(INDEX($B$6:$Y$23,($AC$3-1-0)*$AC$4+AJ49+1,1*$AC$5+AI49+1)="",NA(),0+(INDEX($B$6:$Y$23,($AC$3-1-0)*$AC$4+AJ49+1,1*$AC$5+AI49+1)-$AC$17)/$AC$19*$AC$13))</f>
        <v>0.65007777777777775</v>
      </c>
      <c r="AN49">
        <f>IF(AH49=1,NA(),IF(INDEX($B$6:$Y$23,($AC$3-1-1)*$AC$4+AJ49+1,0*$AC$5+AI49+1)="",NA(),1+(INDEX($B$6:$Y$23,($AC$3-1-1)*$AC$4+AJ49+1,0*$AC$5+AI49+1)-$AC$17)/$AC$19*$AC$13))</f>
        <v>1.7414622222222222</v>
      </c>
      <c r="AO49">
        <f>IF(AH49=1,NA(),IF(INDEX($B$6:$Y$23,($AC$3-1-1)*$AC$4+AJ49+1,1*$AC$5+AI49+1)="",NA(),1+(INDEX($B$6:$Y$23,($AC$3-1-1)*$AC$4+AJ49+1,1*$AC$5+AI49+1)-$AC$17)/$AC$19*$AC$13))</f>
        <v>1.7095733333333332</v>
      </c>
      <c r="AP49">
        <f>IF(AH49=1,NA(),IF(INDEX($B$6:$Y$23,($AC$3-1-2)*$AC$4+AJ49+1,0*$AC$5+AI49+1)="",NA(),2+(INDEX($B$6:$Y$23,($AC$3-1-2)*$AC$4+AJ49+1,0*$AC$5+AI49+1)-$AC$17)/$AC$19*$AC$13))</f>
        <v>2.1275555555555554</v>
      </c>
      <c r="AQ49">
        <f>IF(AH49=1,NA(),IF(INDEX($B$6:$Y$23,($AC$3-1-2)*$AC$4+AJ49+1,1*$AC$5+AI49+1)="",NA(),2+(INDEX($B$6:$Y$23,($AC$3-1-2)*$AC$4+AJ49+1,1*$AC$5+AI49+1)-$AC$17)/$AC$19*$AC$13))</f>
        <v>2.1141622222222223</v>
      </c>
      <c r="AR49">
        <f>IF(AH49=1,NA(),IF(INDEX($B$6:$Y$23,($AC$3-1-3)*$AC$4+AJ49+1,0*$AC$5+AI49+1)="",NA(),3+(INDEX($B$6:$Y$23,($AC$3-1-3)*$AC$4+AJ49+1,0*$AC$5+AI49+1)-$AC$17)/$AC$19*$AC$13))</f>
        <v>3.1889644444444443</v>
      </c>
      <c r="AS49">
        <f>IF(AH49=1,NA(),IF(INDEX($B$6:$Y$23,($AC$3-1-3)*$AC$4+AJ49+1,1*$AC$5+AI49+1)="",NA(),3+(INDEX($B$6:$Y$23,($AC$3-1-3)*$AC$4+AJ49+1,1*$AC$5+AI49+1)-$AC$17)/$AC$19*$AC$13))</f>
        <v>3.173748888888889</v>
      </c>
      <c r="AT49">
        <f>IF(AH49=1,NA(),IF(INDEX($B$6:$Y$23,($AC$3-1-4)*$AC$4+AJ49+1,0*$AC$5+AI49+1)="",NA(),4+(INDEX($B$6:$Y$23,($AC$3-1-4)*$AC$4+AJ49+1,0*$AC$5+AI49+1)-$AC$17)/$AC$19*$AC$13))</f>
        <v>4.2503733333333331</v>
      </c>
      <c r="AU49">
        <f>IF(AH49=1,NA(),IF(INDEX($B$6:$Y$23,($AC$3-1-4)*$AC$4+AJ49+1,1*$AC$5+AI49+1)="",NA(),4+(INDEX($B$6:$Y$23,($AC$3-1-4)*$AC$4+AJ49+1,1*$AC$5+AI49+1)-$AC$17)/$AC$19*$AC$13))</f>
        <v>4.2332444444444448</v>
      </c>
      <c r="AV49">
        <f>IF(AH49=1,NA(),IF(INDEX($B$6:$Y$23,($AC$3-1-5)*$AC$4+AJ49+1,0*$AC$5+AI49+1)="",NA(),5+(INDEX($B$6:$Y$23,($AC$3-1-5)*$AC$4+AJ49+1,0*$AC$5+AI49+1)-$AC$17)/$AC$19*$AC$13))</f>
        <v>5.3116911111111111</v>
      </c>
      <c r="AW49">
        <f>IF(AH49=1,NA(),IF(INDEX($B$6:$Y$23,($AC$3-1-5)*$AC$4+AJ49+1,1*$AC$5+AI49+1)="",NA(),5+(INDEX($B$6:$Y$23,($AC$3-1-5)*$AC$4+AJ49+1,1*$AC$5+AI49+1)-$AC$17)/$AC$19*$AC$13))</f>
        <v>5.292831111111111</v>
      </c>
      <c r="AY49" t="str">
        <f>IF(AH49=1,"",IF(INDEX($B$6:$Y$23,($AC$3-1-0)*$AC$4+AJ49+1,0*$AC$5+AI49+1)="","",TEXT(INDEX($B$6:$Y$23,($AC$3-1-0)*$AC$4+AJ49+1,0*$AC$5+AI49+1),"#,##0")))</f>
        <v>1,096</v>
      </c>
      <c r="AZ49" t="str">
        <f>IF(AH49=1,"",IF(INDEX($B$6:$Y$23,($AC$3-1-0)*$AC$4+AJ49+1,1*$AC$5+AI49+1)="","",TEXT(INDEX($B$6:$Y$23,($AC$3-1-0)*$AC$4+AJ49+1,1*$AC$5+AI49+1),"#,##0")))</f>
        <v>1,064</v>
      </c>
      <c r="BA49" t="str">
        <f>IF(AH49=1,"",IF(INDEX($B$6:$Y$23,($AC$3-1-1)*$AC$4+AJ49+1,0*$AC$5+AI49+1)="","",TEXT(INDEX($B$6:$Y$23,($AC$3-1-1)*$AC$4+AJ49+1,0*$AC$5+AI49+1),"#,##0")))</f>
        <v>1,164</v>
      </c>
      <c r="BB49" t="str">
        <f>IF(AH49=1,"",IF(INDEX($B$6:$Y$23,($AC$3-1-1)*$AC$4+AJ49+1,1*$AC$5+AI49+1)="","",TEXT(INDEX($B$6:$Y$23,($AC$3-1-1)*$AC$4+AJ49+1,1*$AC$5+AI49+1),"#,##0")))</f>
        <v>1,129</v>
      </c>
      <c r="BC49" t="str">
        <f>IF(AH49=1,"",IF(INDEX($B$6:$Y$23,($AC$3-1-2)*$AC$4+AJ49+1,0*$AC$5+AI49+1)="","",TEXT(INDEX($B$6:$Y$23,($AC$3-1-2)*$AC$4+AJ49+1,0*$AC$5+AI49+1),"#,##0")))</f>
        <v>490</v>
      </c>
      <c r="BD49" t="str">
        <f>IF(AH49=1,"",IF(INDEX($B$6:$Y$23,($AC$3-1-2)*$AC$4+AJ49+1,1*$AC$5+AI49+1)="","",TEXT(INDEX($B$6:$Y$23,($AC$3-1-2)*$AC$4+AJ49+1,1*$AC$5+AI49+1),"#,##0")))</f>
        <v>475</v>
      </c>
      <c r="BE49" t="str">
        <f>IF(AH49=1,"",IF(INDEX($B$6:$Y$23,($AC$3-1-3)*$AC$4+AJ49+1,0*$AC$5+AI49+1)="","",TEXT(INDEX($B$6:$Y$23,($AC$3-1-3)*$AC$4+AJ49+1,0*$AC$5+AI49+1),"#,##0")))</f>
        <v>557</v>
      </c>
      <c r="BF49" t="str">
        <f>IF(AH49=1,"",IF(INDEX($B$6:$Y$23,($AC$3-1-3)*$AC$4+AJ49+1,1*$AC$5+AI49+1)="","",TEXT(INDEX($B$6:$Y$23,($AC$3-1-3)*$AC$4+AJ49+1,1*$AC$5+AI49+1),"#,##0")))</f>
        <v>541</v>
      </c>
      <c r="BG49" t="str">
        <f>IF(AH49=1,"",IF(INDEX($B$6:$Y$23,($AC$3-1-4)*$AC$4+AJ49+1,0*$AC$5+AI49+1)="","",TEXT(INDEX($B$6:$Y$23,($AC$3-1-4)*$AC$4+AJ49+1,0*$AC$5+AI49+1),"#,##0")))</f>
        <v>625</v>
      </c>
      <c r="BH49" t="str">
        <f>IF(AH49=1,"",IF(INDEX($B$6:$Y$23,($AC$3-1-4)*$AC$4+AJ49+1,1*$AC$5+AI49+1)="","",TEXT(INDEX($B$6:$Y$23,($AC$3-1-4)*$AC$4+AJ49+1,1*$AC$5+AI49+1),"#,##0")))</f>
        <v>606</v>
      </c>
      <c r="BI49" t="str">
        <f>IF(AH49=1,"",IF(INDEX($B$6:$Y$23,($AC$3-1-5)*$AC$4+AJ49+1,0*$AC$5+AI49+1)="","",TEXT(INDEX($B$6:$Y$23,($AC$3-1-5)*$AC$4+AJ49+1,0*$AC$5+AI49+1),"#,##0")))</f>
        <v>692</v>
      </c>
      <c r="BJ49" t="str">
        <f>IF(AH49=1,"",IF(INDEX($B$6:$Y$23,($AC$3-1-5)*$AC$4+AJ49+1,1*$AC$5+AI49+1)="","",TEXT(INDEX($B$6:$Y$23,($AC$3-1-5)*$AC$4+AJ49+1,1*$AC$5+AI49+1),"#,##0")))</f>
        <v>671</v>
      </c>
      <c r="BR49">
        <v>41.5</v>
      </c>
      <c r="BS49" t="e">
        <f>IF(OR($AC$17&gt;0,$AC$18&lt;0),NA(),2+$AC$20)</f>
        <v>#N/A</v>
      </c>
    </row>
    <row r="50" spans="28:71" x14ac:dyDescent="0.35">
      <c r="AB50">
        <v>27</v>
      </c>
      <c r="AC50">
        <f>AB50-$AC$12</f>
        <v>24</v>
      </c>
      <c r="AD50">
        <f>IF(AC50&lt;=0,-1,INT((AC50-1)/($AC$10+$AC$11)))</f>
        <v>1</v>
      </c>
      <c r="AE50">
        <f>IF(AC50&lt;=0,-1,MOD(AC50-1,($AC$10+$AC$11)))</f>
        <v>10</v>
      </c>
      <c r="AF50">
        <f>IF(OR(AE50&lt;0,AE50&gt;=$AC$10),-1,INT(AE50/$AC$9))</f>
        <v>10</v>
      </c>
      <c r="AG50">
        <f>IF(OR(AE50&lt;0,AE50&gt;=$AC$10),-1,MOD(AE50,$AC$9))</f>
        <v>0</v>
      </c>
      <c r="AH50">
        <f>IF(OR(AC50&lt;=0,AE50&lt;0,AE50&gt;=$AC$10,AD50&gt;=$AC$7),1,0)</f>
        <v>0</v>
      </c>
      <c r="AI50">
        <f>IF(AH50=1,-1,AF50)</f>
        <v>10</v>
      </c>
      <c r="AJ50">
        <f>IF(AH50=1,-1,AD50)</f>
        <v>1</v>
      </c>
      <c r="AK50" t="str">
        <f>IF(AH50=1,"",IF(AND(MOD(AI50,3)=0,AG50=INT(($AC$9-1)/2)),INDEX($B$5:$M$5,AI50+1),""))</f>
        <v/>
      </c>
      <c r="AL50">
        <f>IF(AH50=1,NA(),IF(INDEX($B$6:$Y$23,($AC$3-1-0)*$AC$4+AJ50+1,0*$AC$5+AI50+1)="",NA(),0+(INDEX($B$6:$Y$23,($AC$3-1-0)*$AC$4+AJ50+1,0*$AC$5+AI50+1)-$AC$17)/$AC$19*$AC$13))</f>
        <v>0.75512888888888885</v>
      </c>
      <c r="AM50">
        <f>IF(AH50=1,NA(),IF(INDEX($B$6:$Y$23,($AC$3-1-0)*$AC$4+AJ50+1,1*$AC$5+AI50+1)="",NA(),0+(INDEX($B$6:$Y$23,($AC$3-1-0)*$AC$4+AJ50+1,1*$AC$5+AI50+1)-$AC$17)/$AC$19*$AC$13))</f>
        <v>0.69718222222222226</v>
      </c>
      <c r="AN50">
        <f>IF(AH50=1,NA(),IF(INDEX($B$6:$Y$23,($AC$3-1-1)*$AC$4+AJ50+1,0*$AC$5+AI50+1)="",NA(),1+(INDEX($B$6:$Y$23,($AC$3-1-1)*$AC$4+AJ50+1,0*$AC$5+AI50+1)-$AC$17)/$AC$19*$AC$13))</f>
        <v>1.8177222222222222</v>
      </c>
      <c r="AO50">
        <f>IF(AH50=1,NA(),IF(INDEX($B$6:$Y$23,($AC$3-1-1)*$AC$4+AJ50+1,1*$AC$5+AI50+1)="",NA(),1+(INDEX($B$6:$Y$23,($AC$3-1-1)*$AC$4+AJ50+1,1*$AC$5+AI50+1)-$AC$17)/$AC$19*$AC$13))</f>
        <v>1.7579533333333335</v>
      </c>
      <c r="AP50">
        <f>IF(AH50=1,NA(),IF(INDEX($B$6:$Y$23,($AC$3-1-2)*$AC$4+AJ50+1,0*$AC$5+AI50+1)="",NA(),2+(INDEX($B$6:$Y$23,($AC$3-1-2)*$AC$4+AJ50+1,0*$AC$5+AI50+1)-$AC$17)/$AC$19*$AC$13))</f>
        <v>2.1913333333333331</v>
      </c>
      <c r="AQ50">
        <f>IF(AH50=1,NA(),IF(INDEX($B$6:$Y$23,($AC$3-1-2)*$AC$4+AJ50+1,1*$AC$5+AI50+1)="",NA(),2+(INDEX($B$6:$Y$23,($AC$3-1-2)*$AC$4+AJ50+1,1*$AC$5+AI50+1)-$AC$17)/$AC$19*$AC$13))</f>
        <v>2.1503333333333332</v>
      </c>
      <c r="AR50">
        <f>IF(AH50=1,NA(),IF(INDEX($B$6:$Y$23,($AC$3-1-3)*$AC$4+AJ50+1,0*$AC$5+AI50+1)="",NA(),3+(INDEX($B$6:$Y$23,($AC$3-1-3)*$AC$4+AJ50+1,0*$AC$5+AI50+1)-$AC$17)/$AC$19*$AC$13))</f>
        <v>3.2540177777777779</v>
      </c>
      <c r="AS50">
        <f>IF(AH50=1,NA(),IF(INDEX($B$6:$Y$23,($AC$3-1-3)*$AC$4+AJ50+1,1*$AC$5+AI50+1)="",NA(),3+(INDEX($B$6:$Y$23,($AC$3-1-3)*$AC$4+AJ50+1,1*$AC$5+AI50+1)-$AC$17)/$AC$19*$AC$13))</f>
        <v>3.2111044444444445</v>
      </c>
      <c r="AT50">
        <f>IF(AH50=1,NA(),IF(INDEX($B$6:$Y$23,($AC$3-1-4)*$AC$4+AJ50+1,0*$AC$5+AI50+1)="",NA(),4+(INDEX($B$6:$Y$23,($AC$3-1-4)*$AC$4+AJ50+1,0*$AC$5+AI50+1)-$AC$17)/$AC$19*$AC$13))</f>
        <v>4.3166111111111114</v>
      </c>
      <c r="AU50">
        <f>IF(AH50=1,NA(),IF(INDEX($B$6:$Y$23,($AC$3-1-4)*$AC$4+AJ50+1,1*$AC$5+AI50+1)="",NA(),4+(INDEX($B$6:$Y$23,($AC$3-1-4)*$AC$4+AJ50+1,1*$AC$5+AI50+1)-$AC$17)/$AC$19*$AC$13))</f>
        <v>4.2718755555555559</v>
      </c>
      <c r="AV50">
        <f>IF(AH50=1,NA(),IF(INDEX($B$6:$Y$23,($AC$3-1-5)*$AC$4+AJ50+1,0*$AC$5+AI50+1)="",NA(),5+(INDEX($B$6:$Y$23,($AC$3-1-5)*$AC$4+AJ50+1,0*$AC$5+AI50+1)-$AC$17)/$AC$19*$AC$13))</f>
        <v>5.3792044444444445</v>
      </c>
      <c r="AW50">
        <f>IF(AH50=1,NA(),IF(INDEX($B$6:$Y$23,($AC$3-1-5)*$AC$4+AJ50+1,1*$AC$5+AI50+1)="",NA(),5+(INDEX($B$6:$Y$23,($AC$3-1-5)*$AC$4+AJ50+1,1*$AC$5+AI50+1)-$AC$17)/$AC$19*$AC$13))</f>
        <v>5.3326466666666663</v>
      </c>
      <c r="AY50" t="str">
        <f>IF(AH50=1,"",IF(INDEX($B$6:$Y$23,($AC$3-1-0)*$AC$4+AJ50+1,0*$AC$5+AI50+1)="","",TEXT(INDEX($B$6:$Y$23,($AC$3-1-0)*$AC$4+AJ50+1,0*$AC$5+AI50+1),"#,##0")))</f>
        <v>1,179</v>
      </c>
      <c r="AZ50" t="str">
        <f>IF(AH50=1,"",IF(INDEX($B$6:$Y$23,($AC$3-1-0)*$AC$4+AJ50+1,1*$AC$5+AI50+1)="","",TEXT(INDEX($B$6:$Y$23,($AC$3-1-0)*$AC$4+AJ50+1,1*$AC$5+AI50+1),"#,##0")))</f>
        <v>1,115</v>
      </c>
      <c r="BA50" t="str">
        <f>IF(AH50=1,"",IF(INDEX($B$6:$Y$23,($AC$3-1-1)*$AC$4+AJ50+1,0*$AC$5+AI50+1)="","",TEXT(INDEX($B$6:$Y$23,($AC$3-1-1)*$AC$4+AJ50+1,0*$AC$5+AI50+1),"#,##0")))</f>
        <v>1,248</v>
      </c>
      <c r="BB50" t="str">
        <f>IF(AH50=1,"",IF(INDEX($B$6:$Y$23,($AC$3-1-1)*$AC$4+AJ50+1,1*$AC$5+AI50+1)="","",TEXT(INDEX($B$6:$Y$23,($AC$3-1-1)*$AC$4+AJ50+1,1*$AC$5+AI50+1),"#,##0")))</f>
        <v>1,182</v>
      </c>
      <c r="BC50" t="str">
        <f>IF(AH50=1,"",IF(INDEX($B$6:$Y$23,($AC$3-1-2)*$AC$4+AJ50+1,0*$AC$5+AI50+1)="","",TEXT(INDEX($B$6:$Y$23,($AC$3-1-2)*$AC$4+AJ50+1,0*$AC$5+AI50+1),"#,##0")))</f>
        <v>560</v>
      </c>
      <c r="BD50" t="str">
        <f>IF(AH50=1,"",IF(INDEX($B$6:$Y$23,($AC$3-1-2)*$AC$4+AJ50+1,1*$AC$5+AI50+1)="","",TEXT(INDEX($B$6:$Y$23,($AC$3-1-2)*$AC$4+AJ50+1,1*$AC$5+AI50+1),"#,##0")))</f>
        <v>515</v>
      </c>
      <c r="BE50" t="str">
        <f>IF(AH50=1,"",IF(INDEX($B$6:$Y$23,($AC$3-1-3)*$AC$4+AJ50+1,0*$AC$5+AI50+1)="","",TEXT(INDEX($B$6:$Y$23,($AC$3-1-3)*$AC$4+AJ50+1,0*$AC$5+AI50+1),"#,##0")))</f>
        <v>629</v>
      </c>
      <c r="BF50" t="str">
        <f>IF(AH50=1,"",IF(INDEX($B$6:$Y$23,($AC$3-1-3)*$AC$4+AJ50+1,1*$AC$5+AI50+1)="","",TEXT(INDEX($B$6:$Y$23,($AC$3-1-3)*$AC$4+AJ50+1,1*$AC$5+AI50+1),"#,##0")))</f>
        <v>582</v>
      </c>
      <c r="BG50" t="str">
        <f>IF(AH50=1,"",IF(INDEX($B$6:$Y$23,($AC$3-1-4)*$AC$4+AJ50+1,0*$AC$5+AI50+1)="","",TEXT(INDEX($B$6:$Y$23,($AC$3-1-4)*$AC$4+AJ50+1,0*$AC$5+AI50+1),"#,##0")))</f>
        <v>698</v>
      </c>
      <c r="BH50" t="str">
        <f>IF(AH50=1,"",IF(INDEX($B$6:$Y$23,($AC$3-1-4)*$AC$4+AJ50+1,1*$AC$5+AI50+1)="","",TEXT(INDEX($B$6:$Y$23,($AC$3-1-4)*$AC$4+AJ50+1,1*$AC$5+AI50+1),"#,##0")))</f>
        <v>648</v>
      </c>
      <c r="BI50" t="str">
        <f>IF(AH50=1,"",IF(INDEX($B$6:$Y$23,($AC$3-1-5)*$AC$4+AJ50+1,0*$AC$5+AI50+1)="","",TEXT(INDEX($B$6:$Y$23,($AC$3-1-5)*$AC$4+AJ50+1,0*$AC$5+AI50+1),"#,##0")))</f>
        <v>766</v>
      </c>
      <c r="BJ50" t="str">
        <f>IF(AH50=1,"",IF(INDEX($B$6:$Y$23,($AC$3-1-5)*$AC$4+AJ50+1,1*$AC$5+AI50+1)="","",TEXT(INDEX($B$6:$Y$23,($AC$3-1-5)*$AC$4+AJ50+1,1*$AC$5+AI50+1),"#,##0")))</f>
        <v>715</v>
      </c>
      <c r="BR50">
        <v>41.5</v>
      </c>
      <c r="BS50" t="e">
        <f>NA()</f>
        <v>#N/A</v>
      </c>
    </row>
    <row r="51" spans="28:71" x14ac:dyDescent="0.35">
      <c r="AB51">
        <v>28</v>
      </c>
      <c r="AC51">
        <f>AB51-$AC$12</f>
        <v>25</v>
      </c>
      <c r="AD51">
        <f>IF(AC51&lt;=0,-1,INT((AC51-1)/($AC$10+$AC$11)))</f>
        <v>1</v>
      </c>
      <c r="AE51">
        <f>IF(AC51&lt;=0,-1,MOD(AC51-1,($AC$10+$AC$11)))</f>
        <v>11</v>
      </c>
      <c r="AF51">
        <f>IF(OR(AE51&lt;0,AE51&gt;=$AC$10),-1,INT(AE51/$AC$9))</f>
        <v>11</v>
      </c>
      <c r="AG51">
        <f>IF(OR(AE51&lt;0,AE51&gt;=$AC$10),-1,MOD(AE51,$AC$9))</f>
        <v>0</v>
      </c>
      <c r="AH51">
        <f>IF(OR(AC51&lt;=0,AE51&lt;0,AE51&gt;=$AC$10,AD51&gt;=$AC$7),1,0)</f>
        <v>0</v>
      </c>
      <c r="AI51">
        <f>IF(AH51=1,-1,AF51)</f>
        <v>11</v>
      </c>
      <c r="AJ51">
        <f>IF(AH51=1,-1,AD51)</f>
        <v>1</v>
      </c>
      <c r="AK51" t="str">
        <f>IF(AH51=1,"",IF(AND(MOD(AI51,3)=0,AG51=INT(($AC$9-1)/2)),INDEX($B$5:$M$5,AI51+1),""))</f>
        <v/>
      </c>
      <c r="AL51">
        <f>IF(AH51=1,NA(),IF(INDEX($B$6:$Y$23,($AC$3-1-0)*$AC$4+AJ51+1,0*$AC$5+AI51+1)="",NA(),0+(INDEX($B$6:$Y$23,($AC$3-1-0)*$AC$4+AJ51+1,0*$AC$5+AI51+1)-$AC$17)/$AC$19*$AC$13))</f>
        <v>0.66611333333333322</v>
      </c>
      <c r="AM51">
        <f>IF(AH51=1,NA(),IF(INDEX($B$6:$Y$23,($AC$3-1-0)*$AC$4+AJ51+1,1*$AC$5+AI51+1)="",NA(),0+(INDEX($B$6:$Y$23,($AC$3-1-0)*$AC$4+AJ51+1,1*$AC$5+AI51+1)-$AC$17)/$AC$19*$AC$13))</f>
        <v>0.66228666666666669</v>
      </c>
      <c r="AN51">
        <f>IF(AH51=1,NA(),IF(INDEX($B$6:$Y$23,($AC$3-1-1)*$AC$4+AJ51+1,0*$AC$5+AI51+1)="",NA(),1+(INDEX($B$6:$Y$23,($AC$3-1-1)*$AC$4+AJ51+1,0*$AC$5+AI51+1)-$AC$17)/$AC$19*$AC$13))</f>
        <v>1.7299822222222221</v>
      </c>
      <c r="AO51">
        <f>IF(AH51=1,NA(),IF(INDEX($B$6:$Y$23,($AC$3-1-1)*$AC$4+AJ51+1,1*$AC$5+AI51+1)="",NA(),1+(INDEX($B$6:$Y$23,($AC$3-1-1)*$AC$4+AJ51+1,1*$AC$5+AI51+1)-$AC$17)/$AC$19*$AC$13))</f>
        <v>1.7242422222222222</v>
      </c>
      <c r="AP51">
        <f>IF(AH51=1,NA(),IF(INDEX($B$6:$Y$23,($AC$3-1-2)*$AC$4+AJ51+1,0*$AC$5+AI51+1)="",NA(),2+(INDEX($B$6:$Y$23,($AC$3-1-2)*$AC$4+AJ51+1,0*$AC$5+AI51+1)-$AC$17)/$AC$19*$AC$13))</f>
        <v>2.0911111111111111</v>
      </c>
      <c r="AQ51">
        <f>IF(AH51=1,NA(),IF(INDEX($B$6:$Y$23,($AC$3-1-2)*$AC$4+AJ51+1,1*$AC$5+AI51+1)="",NA(),2+(INDEX($B$6:$Y$23,($AC$3-1-2)*$AC$4+AJ51+1,1*$AC$5+AI51+1)-$AC$17)/$AC$19*$AC$13))</f>
        <v>2.1045044444444443</v>
      </c>
      <c r="AR51">
        <f>IF(AH51=1,NA(),IF(INDEX($B$6:$Y$23,($AC$3-1-3)*$AC$4+AJ51+1,0*$AC$5+AI51+1)="",NA(),3+(INDEX($B$6:$Y$23,($AC$3-1-3)*$AC$4+AJ51+1,0*$AC$5+AI51+1)-$AC$17)/$AC$19*$AC$13))</f>
        <v>3.1549800000000001</v>
      </c>
      <c r="AS51">
        <f>IF(AH51=1,NA(),IF(INDEX($B$6:$Y$23,($AC$3-1-3)*$AC$4+AJ51+1,1*$AC$5+AI51+1)="",NA(),3+(INDEX($B$6:$Y$23,($AC$3-1-3)*$AC$4+AJ51+1,1*$AC$5+AI51+1)-$AC$17)/$AC$19*$AC$13))</f>
        <v>3.1664599999999998</v>
      </c>
      <c r="AT51">
        <f>IF(AH51=1,NA(),IF(INDEX($B$6:$Y$23,($AC$3-1-4)*$AC$4+AJ51+1,0*$AC$5+AI51+1)="",NA(),4+(INDEX($B$6:$Y$23,($AC$3-1-4)*$AC$4+AJ51+1,0*$AC$5+AI51+1)-$AC$17)/$AC$19*$AC$13))</f>
        <v>4.2188488888888891</v>
      </c>
      <c r="AU51">
        <f>IF(AH51=1,NA(),IF(INDEX($B$6:$Y$23,($AC$3-1-4)*$AC$4+AJ51+1,1*$AC$5+AI51+1)="",NA(),4+(INDEX($B$6:$Y$23,($AC$3-1-4)*$AC$4+AJ51+1,1*$AC$5+AI51+1)-$AC$17)/$AC$19*$AC$13))</f>
        <v>4.2284155555555554</v>
      </c>
      <c r="AV51">
        <f>IF(AH51=1,NA(),IF(INDEX($B$6:$Y$23,($AC$3-1-5)*$AC$4+AJ51+1,0*$AC$5+AI51+1)="",NA(),5+(INDEX($B$6:$Y$23,($AC$3-1-5)*$AC$4+AJ51+1,0*$AC$5+AI51+1)-$AC$17)/$AC$19*$AC$13))</f>
        <v>5.2828088888888889</v>
      </c>
      <c r="AW51">
        <f>IF(AH51=1,NA(),IF(INDEX($B$6:$Y$23,($AC$3-1-5)*$AC$4+AJ51+1,1*$AC$5+AI51+1)="",NA(),5+(INDEX($B$6:$Y$23,($AC$3-1-5)*$AC$4+AJ51+1,1*$AC$5+AI51+1)-$AC$17)/$AC$19*$AC$13))</f>
        <v>5.2904622222222226</v>
      </c>
      <c r="AY51" t="str">
        <f>IF(AH51=1,"",IF(INDEX($B$6:$Y$23,($AC$3-1-0)*$AC$4+AJ51+1,0*$AC$5+AI51+1)="","",TEXT(INDEX($B$6:$Y$23,($AC$3-1-0)*$AC$4+AJ51+1,0*$AC$5+AI51+1),"#,##0")))</f>
        <v>1,081</v>
      </c>
      <c r="AZ51" t="str">
        <f>IF(AH51=1,"",IF(INDEX($B$6:$Y$23,($AC$3-1-0)*$AC$4+AJ51+1,1*$AC$5+AI51+1)="","",TEXT(INDEX($B$6:$Y$23,($AC$3-1-0)*$AC$4+AJ51+1,1*$AC$5+AI51+1),"#,##0")))</f>
        <v>1,077</v>
      </c>
      <c r="BA51" t="str">
        <f>IF(AH51=1,"",IF(INDEX($B$6:$Y$23,($AC$3-1-1)*$AC$4+AJ51+1,0*$AC$5+AI51+1)="","",TEXT(INDEX($B$6:$Y$23,($AC$3-1-1)*$AC$4+AJ51+1,0*$AC$5+AI51+1),"#,##0")))</f>
        <v>1,151</v>
      </c>
      <c r="BB51" t="str">
        <f>IF(AH51=1,"",IF(INDEX($B$6:$Y$23,($AC$3-1-1)*$AC$4+AJ51+1,1*$AC$5+AI51+1)="","",TEXT(INDEX($B$6:$Y$23,($AC$3-1-1)*$AC$4+AJ51+1,1*$AC$5+AI51+1),"#,##0")))</f>
        <v>1,145</v>
      </c>
      <c r="BC51" t="str">
        <f>IF(AH51=1,"",IF(INDEX($B$6:$Y$23,($AC$3-1-2)*$AC$4+AJ51+1,0*$AC$5+AI51+1)="","",TEXT(INDEX($B$6:$Y$23,($AC$3-1-2)*$AC$4+AJ51+1,0*$AC$5+AI51+1),"#,##0")))</f>
        <v>450</v>
      </c>
      <c r="BD51" t="str">
        <f>IF(AH51=1,"",IF(INDEX($B$6:$Y$23,($AC$3-1-2)*$AC$4+AJ51+1,1*$AC$5+AI51+1)="","",TEXT(INDEX($B$6:$Y$23,($AC$3-1-2)*$AC$4+AJ51+1,1*$AC$5+AI51+1),"#,##0")))</f>
        <v>465</v>
      </c>
      <c r="BE51" t="str">
        <f>IF(AH51=1,"",IF(INDEX($B$6:$Y$23,($AC$3-1-3)*$AC$4+AJ51+1,0*$AC$5+AI51+1)="","",TEXT(INDEX($B$6:$Y$23,($AC$3-1-3)*$AC$4+AJ51+1,0*$AC$5+AI51+1),"#,##0")))</f>
        <v>520</v>
      </c>
      <c r="BF51" t="str">
        <f>IF(AH51=1,"",IF(INDEX($B$6:$Y$23,($AC$3-1-3)*$AC$4+AJ51+1,1*$AC$5+AI51+1)="","",TEXT(INDEX($B$6:$Y$23,($AC$3-1-3)*$AC$4+AJ51+1,1*$AC$5+AI51+1),"#,##0")))</f>
        <v>533</v>
      </c>
      <c r="BG51" t="str">
        <f>IF(AH51=1,"",IF(INDEX($B$6:$Y$23,($AC$3-1-4)*$AC$4+AJ51+1,0*$AC$5+AI51+1)="","",TEXT(INDEX($B$6:$Y$23,($AC$3-1-4)*$AC$4+AJ51+1,0*$AC$5+AI51+1),"#,##0")))</f>
        <v>590</v>
      </c>
      <c r="BH51" t="str">
        <f>IF(AH51=1,"",IF(INDEX($B$6:$Y$23,($AC$3-1-4)*$AC$4+AJ51+1,1*$AC$5+AI51+1)="","",TEXT(INDEX($B$6:$Y$23,($AC$3-1-4)*$AC$4+AJ51+1,1*$AC$5+AI51+1),"#,##0")))</f>
        <v>601</v>
      </c>
      <c r="BI51" t="str">
        <f>IF(AH51=1,"",IF(INDEX($B$6:$Y$23,($AC$3-1-5)*$AC$4+AJ51+1,0*$AC$5+AI51+1)="","",TEXT(INDEX($B$6:$Y$23,($AC$3-1-5)*$AC$4+AJ51+1,0*$AC$5+AI51+1),"#,##0")))</f>
        <v>660</v>
      </c>
      <c r="BJ51" t="str">
        <f>IF(AH51=1,"",IF(INDEX($B$6:$Y$23,($AC$3-1-5)*$AC$4+AJ51+1,1*$AC$5+AI51+1)="","",TEXT(INDEX($B$6:$Y$23,($AC$3-1-5)*$AC$4+AJ51+1,1*$AC$5+AI51+1),"#,##0")))</f>
        <v>669</v>
      </c>
      <c r="BR51">
        <v>3.5</v>
      </c>
      <c r="BS51" t="e">
        <f>IF(OR($AC$17&gt;0,$AC$18&lt;0),NA(),3+$AC$20)</f>
        <v>#N/A</v>
      </c>
    </row>
    <row r="52" spans="28:71" x14ac:dyDescent="0.35">
      <c r="AB52">
        <v>29</v>
      </c>
      <c r="AC52">
        <f>AB52-$AC$12</f>
        <v>26</v>
      </c>
      <c r="AD52">
        <f>IF(AC52&lt;=0,-1,INT((AC52-1)/($AC$10+$AC$11)))</f>
        <v>1</v>
      </c>
      <c r="AE52">
        <f>IF(AC52&lt;=0,-1,MOD(AC52-1,($AC$10+$AC$11)))</f>
        <v>12</v>
      </c>
      <c r="AF52">
        <f>IF(OR(AE52&lt;0,AE52&gt;=$AC$10),-1,INT(AE52/$AC$9))</f>
        <v>-1</v>
      </c>
      <c r="AG52">
        <f>IF(OR(AE52&lt;0,AE52&gt;=$AC$10),-1,MOD(AE52,$AC$9))</f>
        <v>-1</v>
      </c>
      <c r="AH52">
        <f>IF(OR(AC52&lt;=0,AE52&lt;0,AE52&gt;=$AC$10,AD52&gt;=$AC$7),1,0)</f>
        <v>1</v>
      </c>
      <c r="AI52">
        <f>IF(AH52=1,-1,AF52)</f>
        <v>-1</v>
      </c>
      <c r="AJ52">
        <f>IF(AH52=1,-1,AD52)</f>
        <v>-1</v>
      </c>
      <c r="AK52" t="str">
        <f>IF(AH52=1,"",IF(AND(MOD(AI52,3)=0,AG52=INT(($AC$9-1)/2)),INDEX($B$5:$M$5,AI52+1),""))</f>
        <v/>
      </c>
      <c r="AL52" t="e">
        <f>IF(AH52=1,NA(),IF(INDEX($B$6:$Y$23,($AC$3-1-0)*$AC$4+AJ52+1,0*$AC$5+AI52+1)="",NA(),0+(INDEX($B$6:$Y$23,($AC$3-1-0)*$AC$4+AJ52+1,0*$AC$5+AI52+1)-$AC$17)/$AC$19*$AC$13))</f>
        <v>#N/A</v>
      </c>
      <c r="AM52" t="e">
        <f>IF(AH52=1,NA(),IF(INDEX($B$6:$Y$23,($AC$3-1-0)*$AC$4+AJ52+1,1*$AC$5+AI52+1)="",NA(),0+(INDEX($B$6:$Y$23,($AC$3-1-0)*$AC$4+AJ52+1,1*$AC$5+AI52+1)-$AC$17)/$AC$19*$AC$13))</f>
        <v>#N/A</v>
      </c>
      <c r="AN52" t="e">
        <f>IF(AH52=1,NA(),IF(INDEX($B$6:$Y$23,($AC$3-1-1)*$AC$4+AJ52+1,0*$AC$5+AI52+1)="",NA(),1+(INDEX($B$6:$Y$23,($AC$3-1-1)*$AC$4+AJ52+1,0*$AC$5+AI52+1)-$AC$17)/$AC$19*$AC$13))</f>
        <v>#N/A</v>
      </c>
      <c r="AO52" t="e">
        <f>IF(AH52=1,NA(),IF(INDEX($B$6:$Y$23,($AC$3-1-1)*$AC$4+AJ52+1,1*$AC$5+AI52+1)="",NA(),1+(INDEX($B$6:$Y$23,($AC$3-1-1)*$AC$4+AJ52+1,1*$AC$5+AI52+1)-$AC$17)/$AC$19*$AC$13))</f>
        <v>#N/A</v>
      </c>
      <c r="AP52" t="e">
        <f>IF(AH52=1,NA(),IF(INDEX($B$6:$Y$23,($AC$3-1-2)*$AC$4+AJ52+1,0*$AC$5+AI52+1)="",NA(),2+(INDEX($B$6:$Y$23,($AC$3-1-2)*$AC$4+AJ52+1,0*$AC$5+AI52+1)-$AC$17)/$AC$19*$AC$13))</f>
        <v>#N/A</v>
      </c>
      <c r="AQ52" t="e">
        <f>IF(AH52=1,NA(),IF(INDEX($B$6:$Y$23,($AC$3-1-2)*$AC$4+AJ52+1,1*$AC$5+AI52+1)="",NA(),2+(INDEX($B$6:$Y$23,($AC$3-1-2)*$AC$4+AJ52+1,1*$AC$5+AI52+1)-$AC$17)/$AC$19*$AC$13))</f>
        <v>#N/A</v>
      </c>
      <c r="AR52" t="e">
        <f>IF(AH52=1,NA(),IF(INDEX($B$6:$Y$23,($AC$3-1-3)*$AC$4+AJ52+1,0*$AC$5+AI52+1)="",NA(),3+(INDEX($B$6:$Y$23,($AC$3-1-3)*$AC$4+AJ52+1,0*$AC$5+AI52+1)-$AC$17)/$AC$19*$AC$13))</f>
        <v>#N/A</v>
      </c>
      <c r="AS52" t="e">
        <f>IF(AH52=1,NA(),IF(INDEX($B$6:$Y$23,($AC$3-1-3)*$AC$4+AJ52+1,1*$AC$5+AI52+1)="",NA(),3+(INDEX($B$6:$Y$23,($AC$3-1-3)*$AC$4+AJ52+1,1*$AC$5+AI52+1)-$AC$17)/$AC$19*$AC$13))</f>
        <v>#N/A</v>
      </c>
      <c r="AT52" t="e">
        <f>IF(AH52=1,NA(),IF(INDEX($B$6:$Y$23,($AC$3-1-4)*$AC$4+AJ52+1,0*$AC$5+AI52+1)="",NA(),4+(INDEX($B$6:$Y$23,($AC$3-1-4)*$AC$4+AJ52+1,0*$AC$5+AI52+1)-$AC$17)/$AC$19*$AC$13))</f>
        <v>#N/A</v>
      </c>
      <c r="AU52" t="e">
        <f>IF(AH52=1,NA(),IF(INDEX($B$6:$Y$23,($AC$3-1-4)*$AC$4+AJ52+1,1*$AC$5+AI52+1)="",NA(),4+(INDEX($B$6:$Y$23,($AC$3-1-4)*$AC$4+AJ52+1,1*$AC$5+AI52+1)-$AC$17)/$AC$19*$AC$13))</f>
        <v>#N/A</v>
      </c>
      <c r="AV52" t="e">
        <f>IF(AH52=1,NA(),IF(INDEX($B$6:$Y$23,($AC$3-1-5)*$AC$4+AJ52+1,0*$AC$5+AI52+1)="",NA(),5+(INDEX($B$6:$Y$23,($AC$3-1-5)*$AC$4+AJ52+1,0*$AC$5+AI52+1)-$AC$17)/$AC$19*$AC$13))</f>
        <v>#N/A</v>
      </c>
      <c r="AW52" t="e">
        <f>IF(AH52=1,NA(),IF(INDEX($B$6:$Y$23,($AC$3-1-5)*$AC$4+AJ52+1,1*$AC$5+AI52+1)="",NA(),5+(INDEX($B$6:$Y$23,($AC$3-1-5)*$AC$4+AJ52+1,1*$AC$5+AI52+1)-$AC$17)/$AC$19*$AC$13))</f>
        <v>#N/A</v>
      </c>
      <c r="AY52" t="str">
        <f>IF(AH52=1,"",IF(INDEX($B$6:$Y$23,($AC$3-1-0)*$AC$4+AJ52+1,0*$AC$5+AI52+1)="","",TEXT(INDEX($B$6:$Y$23,($AC$3-1-0)*$AC$4+AJ52+1,0*$AC$5+AI52+1),"#,##0")))</f>
        <v/>
      </c>
      <c r="AZ52" t="str">
        <f>IF(AH52=1,"",IF(INDEX($B$6:$Y$23,($AC$3-1-0)*$AC$4+AJ52+1,1*$AC$5+AI52+1)="","",TEXT(INDEX($B$6:$Y$23,($AC$3-1-0)*$AC$4+AJ52+1,1*$AC$5+AI52+1),"#,##0")))</f>
        <v/>
      </c>
      <c r="BA52" t="str">
        <f>IF(AH52=1,"",IF(INDEX($B$6:$Y$23,($AC$3-1-1)*$AC$4+AJ52+1,0*$AC$5+AI52+1)="","",TEXT(INDEX($B$6:$Y$23,($AC$3-1-1)*$AC$4+AJ52+1,0*$AC$5+AI52+1),"#,##0")))</f>
        <v/>
      </c>
      <c r="BB52" t="str">
        <f>IF(AH52=1,"",IF(INDEX($B$6:$Y$23,($AC$3-1-1)*$AC$4+AJ52+1,1*$AC$5+AI52+1)="","",TEXT(INDEX($B$6:$Y$23,($AC$3-1-1)*$AC$4+AJ52+1,1*$AC$5+AI52+1),"#,##0")))</f>
        <v/>
      </c>
      <c r="BC52" t="str">
        <f>IF(AH52=1,"",IF(INDEX($B$6:$Y$23,($AC$3-1-2)*$AC$4+AJ52+1,0*$AC$5+AI52+1)="","",TEXT(INDEX($B$6:$Y$23,($AC$3-1-2)*$AC$4+AJ52+1,0*$AC$5+AI52+1),"#,##0")))</f>
        <v/>
      </c>
      <c r="BD52" t="str">
        <f>IF(AH52=1,"",IF(INDEX($B$6:$Y$23,($AC$3-1-2)*$AC$4+AJ52+1,1*$AC$5+AI52+1)="","",TEXT(INDEX($B$6:$Y$23,($AC$3-1-2)*$AC$4+AJ52+1,1*$AC$5+AI52+1),"#,##0")))</f>
        <v/>
      </c>
      <c r="BE52" t="str">
        <f>IF(AH52=1,"",IF(INDEX($B$6:$Y$23,($AC$3-1-3)*$AC$4+AJ52+1,0*$AC$5+AI52+1)="","",TEXT(INDEX($B$6:$Y$23,($AC$3-1-3)*$AC$4+AJ52+1,0*$AC$5+AI52+1),"#,##0")))</f>
        <v/>
      </c>
      <c r="BF52" t="str">
        <f>IF(AH52=1,"",IF(INDEX($B$6:$Y$23,($AC$3-1-3)*$AC$4+AJ52+1,1*$AC$5+AI52+1)="","",TEXT(INDEX($B$6:$Y$23,($AC$3-1-3)*$AC$4+AJ52+1,1*$AC$5+AI52+1),"#,##0")))</f>
        <v/>
      </c>
      <c r="BG52" t="str">
        <f>IF(AH52=1,"",IF(INDEX($B$6:$Y$23,($AC$3-1-4)*$AC$4+AJ52+1,0*$AC$5+AI52+1)="","",TEXT(INDEX($B$6:$Y$23,($AC$3-1-4)*$AC$4+AJ52+1,0*$AC$5+AI52+1),"#,##0")))</f>
        <v/>
      </c>
      <c r="BH52" t="str">
        <f>IF(AH52=1,"",IF(INDEX($B$6:$Y$23,($AC$3-1-4)*$AC$4+AJ52+1,1*$AC$5+AI52+1)="","",TEXT(INDEX($B$6:$Y$23,($AC$3-1-4)*$AC$4+AJ52+1,1*$AC$5+AI52+1),"#,##0")))</f>
        <v/>
      </c>
      <c r="BI52" t="str">
        <f>IF(AH52=1,"",IF(INDEX($B$6:$Y$23,($AC$3-1-5)*$AC$4+AJ52+1,0*$AC$5+AI52+1)="","",TEXT(INDEX($B$6:$Y$23,($AC$3-1-5)*$AC$4+AJ52+1,0*$AC$5+AI52+1),"#,##0")))</f>
        <v/>
      </c>
      <c r="BJ52" t="str">
        <f>IF(AH52=1,"",IF(INDEX($B$6:$Y$23,($AC$3-1-5)*$AC$4+AJ52+1,1*$AC$5+AI52+1)="","",TEXT(INDEX($B$6:$Y$23,($AC$3-1-5)*$AC$4+AJ52+1,1*$AC$5+AI52+1),"#,##0")))</f>
        <v/>
      </c>
      <c r="BR52">
        <v>15.5</v>
      </c>
      <c r="BS52" t="e">
        <f>IF(OR($AC$17&gt;0,$AC$18&lt;0),NA(),3+$AC$20)</f>
        <v>#N/A</v>
      </c>
    </row>
    <row r="53" spans="28:71" x14ac:dyDescent="0.35">
      <c r="AB53">
        <v>30</v>
      </c>
      <c r="AC53">
        <f>AB53-$AC$12</f>
        <v>27</v>
      </c>
      <c r="AD53">
        <f>IF(AC53&lt;=0,-1,INT((AC53-1)/($AC$10+$AC$11)))</f>
        <v>2</v>
      </c>
      <c r="AE53">
        <f>IF(AC53&lt;=0,-1,MOD(AC53-1,($AC$10+$AC$11)))</f>
        <v>0</v>
      </c>
      <c r="AF53">
        <f>IF(OR(AE53&lt;0,AE53&gt;=$AC$10),-1,INT(AE53/$AC$9))</f>
        <v>0</v>
      </c>
      <c r="AG53">
        <f>IF(OR(AE53&lt;0,AE53&gt;=$AC$10),-1,MOD(AE53,$AC$9))</f>
        <v>0</v>
      </c>
      <c r="AH53">
        <f>IF(OR(AC53&lt;=0,AE53&lt;0,AE53&gt;=$AC$10,AD53&gt;=$AC$7),1,0)</f>
        <v>0</v>
      </c>
      <c r="AI53">
        <f>IF(AH53=1,-1,AF53)</f>
        <v>0</v>
      </c>
      <c r="AJ53">
        <f>IF(AH53=1,-1,AD53)</f>
        <v>2</v>
      </c>
      <c r="AK53" t="str">
        <f>IF(AH53=1,"",IF(AND(MOD(AI53,3)=0,AG53=INT(($AC$9-1)/2)),INDEX($B$5:$M$5,AI53+1),""))</f>
        <v>Jan</v>
      </c>
      <c r="AL53">
        <f>IF(AH53=1,NA(),IF(INDEX($B$6:$Y$23,($AC$3-1-0)*$AC$4+AJ53+1,0*$AC$5+AI53+1)="",NA(),0+(INDEX($B$6:$Y$23,($AC$3-1-0)*$AC$4+AJ53+1,0*$AC$5+AI53+1)-$AC$17)/$AC$19*$AC$13))</f>
        <v>0.35077777777777774</v>
      </c>
      <c r="AM53">
        <f>IF(AH53=1,NA(),IF(INDEX($B$6:$Y$23,($AC$3-1-0)*$AC$4+AJ53+1,1*$AC$5+AI53+1)="",NA(),0+(INDEX($B$6:$Y$23,($AC$3-1-0)*$AC$4+AJ53+1,1*$AC$5+AI53+1)-$AC$17)/$AC$19*$AC$13))</f>
        <v>0.30503999999999992</v>
      </c>
      <c r="AN53">
        <f>IF(AH53=1,NA(),IF(INDEX($B$6:$Y$23,($AC$3-1-1)*$AC$4+AJ53+1,0*$AC$5+AI53+1)="",NA(),1+(INDEX($B$6:$Y$23,($AC$3-1-1)*$AC$4+AJ53+1,0*$AC$5+AI53+1)-$AC$17)/$AC$19*$AC$13))</f>
        <v>1.4008888888888889</v>
      </c>
      <c r="AO53">
        <f>IF(AH53=1,NA(),IF(INDEX($B$6:$Y$23,($AC$3-1-1)*$AC$4+AJ53+1,1*$AC$5+AI53+1)="",NA(),1+(INDEX($B$6:$Y$23,($AC$3-1-1)*$AC$4+AJ53+1,1*$AC$5+AI53+1)-$AC$17)/$AC$19*$AC$13))</f>
        <v>1.3536022222222222</v>
      </c>
      <c r="AP53">
        <f>IF(AH53=1,NA(),IF(INDEX($B$6:$Y$23,($AC$3-1-2)*$AC$4+AJ53+1,0*$AC$5+AI53+1)="",NA(),2+(INDEX($B$6:$Y$23,($AC$3-1-2)*$AC$4+AJ53+1,0*$AC$5+AI53+1)-$AC$17)/$AC$19*$AC$13))</f>
        <v>2.4510000000000001</v>
      </c>
      <c r="AQ53">
        <f>IF(AH53=1,NA(),IF(INDEX($B$6:$Y$23,($AC$3-1-2)*$AC$4+AJ53+1,1*$AC$5+AI53+1)="",NA(),2+(INDEX($B$6:$Y$23,($AC$3-1-2)*$AC$4+AJ53+1,1*$AC$5+AI53+1)-$AC$17)/$AC$19*$AC$13))</f>
        <v>2.4021644444444443</v>
      </c>
      <c r="AR53">
        <f>IF(AH53=1,NA(),IF(INDEX($B$6:$Y$23,($AC$3-1-3)*$AC$4+AJ53+1,0*$AC$5+AI53+1)="",NA(),3+(INDEX($B$6:$Y$23,($AC$3-1-3)*$AC$4+AJ53+1,0*$AC$5+AI53+1)-$AC$17)/$AC$19*$AC$13))</f>
        <v>3.5011111111111113</v>
      </c>
      <c r="AS53">
        <f>IF(AH53=1,NA(),IF(INDEX($B$6:$Y$23,($AC$3-1-3)*$AC$4+AJ53+1,1*$AC$5+AI53+1)="",NA(),3+(INDEX($B$6:$Y$23,($AC$3-1-3)*$AC$4+AJ53+1,1*$AC$5+AI53+1)-$AC$17)/$AC$19*$AC$13))</f>
        <v>3.4508177777777775</v>
      </c>
      <c r="AT53">
        <f>IF(AH53=1,NA(),IF(INDEX($B$6:$Y$23,($AC$3-1-4)*$AC$4+AJ53+1,0*$AC$5+AI53+1)="",NA(),4+(INDEX($B$6:$Y$23,($AC$3-1-4)*$AC$4+AJ53+1,0*$AC$5+AI53+1)-$AC$17)/$AC$19*$AC$13))</f>
        <v>4.5512222222222221</v>
      </c>
      <c r="AU53">
        <f>IF(AH53=1,NA(),IF(INDEX($B$6:$Y$23,($AC$3-1-4)*$AC$4+AJ53+1,1*$AC$5+AI53+1)="",NA(),4+(INDEX($B$6:$Y$23,($AC$3-1-4)*$AC$4+AJ53+1,1*$AC$5+AI53+1)-$AC$17)/$AC$19*$AC$13))</f>
        <v>4.4993800000000004</v>
      </c>
      <c r="AV53">
        <f>IF(AH53=1,NA(),IF(INDEX($B$6:$Y$23,($AC$3-1-5)*$AC$4+AJ53+1,0*$AC$5+AI53+1)="",NA(),5+(INDEX($B$6:$Y$23,($AC$3-1-5)*$AC$4+AJ53+1,0*$AC$5+AI53+1)-$AC$17)/$AC$19*$AC$13))</f>
        <v>5.6013333333333328</v>
      </c>
      <c r="AW53">
        <f>IF(AH53=1,NA(),IF(INDEX($B$6:$Y$23,($AC$3-1-5)*$AC$4+AJ53+1,1*$AC$5+AI53+1)="",NA(),5+(INDEX($B$6:$Y$23,($AC$3-1-5)*$AC$4+AJ53+1,1*$AC$5+AI53+1)-$AC$17)/$AC$19*$AC$13))</f>
        <v>5.5480333333333336</v>
      </c>
      <c r="AY53" t="str">
        <f>IF(AH53=1,"",IF(INDEX($B$6:$Y$23,($AC$3-1-0)*$AC$4+AJ53+1,0*$AC$5+AI53+1)="","",TEXT(INDEX($B$6:$Y$23,($AC$3-1-0)*$AC$4+AJ53+1,0*$AC$5+AI53+1),"#,##0")))</f>
        <v>735</v>
      </c>
      <c r="AZ53" t="str">
        <f>IF(AH53=1,"",IF(INDEX($B$6:$Y$23,($AC$3-1-0)*$AC$4+AJ53+1,1*$AC$5+AI53+1)="","",TEXT(INDEX($B$6:$Y$23,($AC$3-1-0)*$AC$4+AJ53+1,1*$AC$5+AI53+1),"#,##0")))</f>
        <v>685</v>
      </c>
      <c r="BA53" t="str">
        <f>IF(AH53=1,"",IF(INDEX($B$6:$Y$23,($AC$3-1-1)*$AC$4+AJ53+1,0*$AC$5+AI53+1)="","",TEXT(INDEX($B$6:$Y$23,($AC$3-1-1)*$AC$4+AJ53+1,0*$AC$5+AI53+1),"#,##0")))</f>
        <v>790</v>
      </c>
      <c r="BB53" t="str">
        <f>IF(AH53=1,"",IF(INDEX($B$6:$Y$23,($AC$3-1-1)*$AC$4+AJ53+1,1*$AC$5+AI53+1)="","",TEXT(INDEX($B$6:$Y$23,($AC$3-1-1)*$AC$4+AJ53+1,1*$AC$5+AI53+1),"#,##0")))</f>
        <v>738</v>
      </c>
      <c r="BC53" t="str">
        <f>IF(AH53=1,"",IF(INDEX($B$6:$Y$23,($AC$3-1-2)*$AC$4+AJ53+1,0*$AC$5+AI53+1)="","",TEXT(INDEX($B$6:$Y$23,($AC$3-1-2)*$AC$4+AJ53+1,0*$AC$5+AI53+1),"#,##0")))</f>
        <v>845</v>
      </c>
      <c r="BD53" t="str">
        <f>IF(AH53=1,"",IF(INDEX($B$6:$Y$23,($AC$3-1-2)*$AC$4+AJ53+1,1*$AC$5+AI53+1)="","",TEXT(INDEX($B$6:$Y$23,($AC$3-1-2)*$AC$4+AJ53+1,1*$AC$5+AI53+1),"#,##0")))</f>
        <v>791</v>
      </c>
      <c r="BE53" t="str">
        <f>IF(AH53=1,"",IF(INDEX($B$6:$Y$23,($AC$3-1-3)*$AC$4+AJ53+1,0*$AC$5+AI53+1)="","",TEXT(INDEX($B$6:$Y$23,($AC$3-1-3)*$AC$4+AJ53+1,0*$AC$5+AI53+1),"#,##0")))</f>
        <v>900</v>
      </c>
      <c r="BF53" t="str">
        <f>IF(AH53=1,"",IF(INDEX($B$6:$Y$23,($AC$3-1-3)*$AC$4+AJ53+1,1*$AC$5+AI53+1)="","",TEXT(INDEX($B$6:$Y$23,($AC$3-1-3)*$AC$4+AJ53+1,1*$AC$5+AI53+1),"#,##0")))</f>
        <v>845</v>
      </c>
      <c r="BG53" t="str">
        <f>IF(AH53=1,"",IF(INDEX($B$6:$Y$23,($AC$3-1-4)*$AC$4+AJ53+1,0*$AC$5+AI53+1)="","",TEXT(INDEX($B$6:$Y$23,($AC$3-1-4)*$AC$4+AJ53+1,0*$AC$5+AI53+1),"#,##0")))</f>
        <v>955</v>
      </c>
      <c r="BH53" t="str">
        <f>IF(AH53=1,"",IF(INDEX($B$6:$Y$23,($AC$3-1-4)*$AC$4+AJ53+1,1*$AC$5+AI53+1)="","",TEXT(INDEX($B$6:$Y$23,($AC$3-1-4)*$AC$4+AJ53+1,1*$AC$5+AI53+1),"#,##0")))</f>
        <v>898</v>
      </c>
      <c r="BI53" t="str">
        <f>IF(AH53=1,"",IF(INDEX($B$6:$Y$23,($AC$3-1-5)*$AC$4+AJ53+1,0*$AC$5+AI53+1)="","",TEXT(INDEX($B$6:$Y$23,($AC$3-1-5)*$AC$4+AJ53+1,0*$AC$5+AI53+1),"#,##0")))</f>
        <v>1,010</v>
      </c>
      <c r="BJ53" t="str">
        <f>IF(AH53=1,"",IF(INDEX($B$6:$Y$23,($AC$3-1-5)*$AC$4+AJ53+1,1*$AC$5+AI53+1)="","",TEXT(INDEX($B$6:$Y$23,($AC$3-1-5)*$AC$4+AJ53+1,1*$AC$5+AI53+1),"#,##0")))</f>
        <v>952</v>
      </c>
      <c r="BR53">
        <v>15.5</v>
      </c>
      <c r="BS53" t="e">
        <f>NA()</f>
        <v>#N/A</v>
      </c>
    </row>
    <row r="54" spans="28:71" x14ac:dyDescent="0.35">
      <c r="AB54">
        <v>31</v>
      </c>
      <c r="AC54">
        <f>AB54-$AC$12</f>
        <v>28</v>
      </c>
      <c r="AD54">
        <f>IF(AC54&lt;=0,-1,INT((AC54-1)/($AC$10+$AC$11)))</f>
        <v>2</v>
      </c>
      <c r="AE54">
        <f>IF(AC54&lt;=0,-1,MOD(AC54-1,($AC$10+$AC$11)))</f>
        <v>1</v>
      </c>
      <c r="AF54">
        <f>IF(OR(AE54&lt;0,AE54&gt;=$AC$10),-1,INT(AE54/$AC$9))</f>
        <v>1</v>
      </c>
      <c r="AG54">
        <f>IF(OR(AE54&lt;0,AE54&gt;=$AC$10),-1,MOD(AE54,$AC$9))</f>
        <v>0</v>
      </c>
      <c r="AH54">
        <f>IF(OR(AC54&lt;=0,AE54&lt;0,AE54&gt;=$AC$10,AD54&gt;=$AC$7),1,0)</f>
        <v>0</v>
      </c>
      <c r="AI54">
        <f>IF(AH54=1,-1,AF54)</f>
        <v>1</v>
      </c>
      <c r="AJ54">
        <f>IF(AH54=1,-1,AD54)</f>
        <v>2</v>
      </c>
      <c r="AK54" t="str">
        <f>IF(AH54=1,"",IF(AND(MOD(AI54,3)=0,AG54=INT(($AC$9-1)/2)),INDEX($B$5:$M$5,AI54+1),""))</f>
        <v/>
      </c>
      <c r="AL54">
        <f>IF(AH54=1,NA(),IF(INDEX($B$6:$Y$23,($AC$3-1-0)*$AC$4+AJ54+1,0*$AC$5+AI54+1)="",NA(),0+(INDEX($B$6:$Y$23,($AC$3-1-0)*$AC$4+AJ54+1,0*$AC$5+AI54+1)-$AC$17)/$AC$19*$AC$13))</f>
        <v>0.25684222222222219</v>
      </c>
      <c r="AM54">
        <f>IF(AH54=1,NA(),IF(INDEX($B$6:$Y$23,($AC$3-1-0)*$AC$4+AJ54+1,1*$AC$5+AI54+1)="",NA(),0+(INDEX($B$6:$Y$23,($AC$3-1-0)*$AC$4+AJ54+1,1*$AC$5+AI54+1)-$AC$17)/$AC$19*$AC$13))</f>
        <v>0.26522444444444443</v>
      </c>
      <c r="AN54">
        <f>IF(AH54=1,NA(),IF(INDEX($B$6:$Y$23,($AC$3-1-1)*$AC$4+AJ54+1,0*$AC$5+AI54+1)="",NA(),1+(INDEX($B$6:$Y$23,($AC$3-1-1)*$AC$4+AJ54+1,0*$AC$5+AI54+1)-$AC$17)/$AC$19*$AC$13))</f>
        <v>1.3081377777777778</v>
      </c>
      <c r="AO54">
        <f>IF(AH54=1,NA(),IF(INDEX($B$6:$Y$23,($AC$3-1-1)*$AC$4+AJ54+1,1*$AC$5+AI54+1)="",NA(),1+(INDEX($B$6:$Y$23,($AC$3-1-1)*$AC$4+AJ54+1,1*$AC$5+AI54+1)-$AC$17)/$AC$19*$AC$13))</f>
        <v>1.3150622222222221</v>
      </c>
      <c r="AP54">
        <f>IF(AH54=1,NA(),IF(INDEX($B$6:$Y$23,($AC$3-1-2)*$AC$4+AJ54+1,0*$AC$5+AI54+1)="",NA(),2+(INDEX($B$6:$Y$23,($AC$3-1-2)*$AC$4+AJ54+1,0*$AC$5+AI54+1)-$AC$17)/$AC$19*$AC$13))</f>
        <v>2.3595244444444443</v>
      </c>
      <c r="AQ54">
        <f>IF(AH54=1,NA(),IF(INDEX($B$6:$Y$23,($AC$3-1-2)*$AC$4+AJ54+1,1*$AC$5+AI54+1)="",NA(),2+(INDEX($B$6:$Y$23,($AC$3-1-2)*$AC$4+AJ54+1,1*$AC$5+AI54+1)-$AC$17)/$AC$19*$AC$13))</f>
        <v>2.3649</v>
      </c>
      <c r="AR54">
        <f>IF(AH54=1,NA(),IF(INDEX($B$6:$Y$23,($AC$3-1-3)*$AC$4+AJ54+1,0*$AC$5+AI54+1)="",NA(),3+(INDEX($B$6:$Y$23,($AC$3-1-3)*$AC$4+AJ54+1,0*$AC$5+AI54+1)-$AC$17)/$AC$19*$AC$13))</f>
        <v>3.410911111111111</v>
      </c>
      <c r="AS54">
        <f>IF(AH54=1,NA(),IF(INDEX($B$6:$Y$23,($AC$3-1-3)*$AC$4+AJ54+1,1*$AC$5+AI54+1)="",NA(),3+(INDEX($B$6:$Y$23,($AC$3-1-3)*$AC$4+AJ54+1,1*$AC$5+AI54+1)-$AC$17)/$AC$19*$AC$13))</f>
        <v>3.4147377777777779</v>
      </c>
      <c r="AT54">
        <f>IF(AH54=1,NA(),IF(INDEX($B$6:$Y$23,($AC$3-1-4)*$AC$4+AJ54+1,0*$AC$5+AI54+1)="",NA(),4+(INDEX($B$6:$Y$23,($AC$3-1-4)*$AC$4+AJ54+1,0*$AC$5+AI54+1)-$AC$17)/$AC$19*$AC$13))</f>
        <v>4.4622977777777777</v>
      </c>
      <c r="AU54">
        <f>IF(AH54=1,NA(),IF(INDEX($B$6:$Y$23,($AC$3-1-4)*$AC$4+AJ54+1,1*$AC$5+AI54+1)="",NA(),4+(INDEX($B$6:$Y$23,($AC$3-1-4)*$AC$4+AJ54+1,1*$AC$5+AI54+1)-$AC$17)/$AC$19*$AC$13))</f>
        <v>4.4645755555555553</v>
      </c>
      <c r="AV54">
        <f>IF(AH54=1,NA(),IF(INDEX($B$6:$Y$23,($AC$3-1-5)*$AC$4+AJ54+1,0*$AC$5+AI54+1)="",NA(),5+(INDEX($B$6:$Y$23,($AC$3-1-5)*$AC$4+AJ54+1,0*$AC$5+AI54+1)-$AC$17)/$AC$19*$AC$13))</f>
        <v>5.5135933333333336</v>
      </c>
      <c r="AW54">
        <f>IF(AH54=1,NA(),IF(INDEX($B$6:$Y$23,($AC$3-1-5)*$AC$4+AJ54+1,1*$AC$5+AI54+1)="",NA(),5+(INDEX($B$6:$Y$23,($AC$3-1-5)*$AC$4+AJ54+1,1*$AC$5+AI54+1)-$AC$17)/$AC$19*$AC$13))</f>
        <v>5.5143222222222219</v>
      </c>
      <c r="AY54" t="str">
        <f>IF(AH54=1,"",IF(INDEX($B$6:$Y$23,($AC$3-1-0)*$AC$4+AJ54+1,0*$AC$5+AI54+1)="","",TEXT(INDEX($B$6:$Y$23,($AC$3-1-0)*$AC$4+AJ54+1,0*$AC$5+AI54+1),"#,##0")))</f>
        <v>632</v>
      </c>
      <c r="AZ54" t="str">
        <f>IF(AH54=1,"",IF(INDEX($B$6:$Y$23,($AC$3-1-0)*$AC$4+AJ54+1,1*$AC$5+AI54+1)="","",TEXT(INDEX($B$6:$Y$23,($AC$3-1-0)*$AC$4+AJ54+1,1*$AC$5+AI54+1),"#,##0")))</f>
        <v>641</v>
      </c>
      <c r="BA54" t="str">
        <f>IF(AH54=1,"",IF(INDEX($B$6:$Y$23,($AC$3-1-1)*$AC$4+AJ54+1,0*$AC$5+AI54+1)="","",TEXT(INDEX($B$6:$Y$23,($AC$3-1-1)*$AC$4+AJ54+1,0*$AC$5+AI54+1),"#,##0")))</f>
        <v>688</v>
      </c>
      <c r="BB54" t="str">
        <f>IF(AH54=1,"",IF(INDEX($B$6:$Y$23,($AC$3-1-1)*$AC$4+AJ54+1,1*$AC$5+AI54+1)="","",TEXT(INDEX($B$6:$Y$23,($AC$3-1-1)*$AC$4+AJ54+1,1*$AC$5+AI54+1),"#,##0")))</f>
        <v>696</v>
      </c>
      <c r="BC54" t="str">
        <f>IF(AH54=1,"",IF(INDEX($B$6:$Y$23,($AC$3-1-2)*$AC$4+AJ54+1,0*$AC$5+AI54+1)="","",TEXT(INDEX($B$6:$Y$23,($AC$3-1-2)*$AC$4+AJ54+1,0*$AC$5+AI54+1),"#,##0")))</f>
        <v>745</v>
      </c>
      <c r="BD54" t="str">
        <f>IF(AH54=1,"",IF(INDEX($B$6:$Y$23,($AC$3-1-2)*$AC$4+AJ54+1,1*$AC$5+AI54+1)="","",TEXT(INDEX($B$6:$Y$23,($AC$3-1-2)*$AC$4+AJ54+1,1*$AC$5+AI54+1),"#,##0")))</f>
        <v>751</v>
      </c>
      <c r="BE54" t="str">
        <f>IF(AH54=1,"",IF(INDEX($B$6:$Y$23,($AC$3-1-3)*$AC$4+AJ54+1,0*$AC$5+AI54+1)="","",TEXT(INDEX($B$6:$Y$23,($AC$3-1-3)*$AC$4+AJ54+1,0*$AC$5+AI54+1),"#,##0")))</f>
        <v>801</v>
      </c>
      <c r="BF54" t="str">
        <f>IF(AH54=1,"",IF(INDEX($B$6:$Y$23,($AC$3-1-3)*$AC$4+AJ54+1,1*$AC$5+AI54+1)="","",TEXT(INDEX($B$6:$Y$23,($AC$3-1-3)*$AC$4+AJ54+1,1*$AC$5+AI54+1),"#,##0")))</f>
        <v>805</v>
      </c>
      <c r="BG54" t="str">
        <f>IF(AH54=1,"",IF(INDEX($B$6:$Y$23,($AC$3-1-4)*$AC$4+AJ54+1,0*$AC$5+AI54+1)="","",TEXT(INDEX($B$6:$Y$23,($AC$3-1-4)*$AC$4+AJ54+1,0*$AC$5+AI54+1),"#,##0")))</f>
        <v>857</v>
      </c>
      <c r="BH54" t="str">
        <f>IF(AH54=1,"",IF(INDEX($B$6:$Y$23,($AC$3-1-4)*$AC$4+AJ54+1,1*$AC$5+AI54+1)="","",TEXT(INDEX($B$6:$Y$23,($AC$3-1-4)*$AC$4+AJ54+1,1*$AC$5+AI54+1),"#,##0")))</f>
        <v>860</v>
      </c>
      <c r="BI54" t="str">
        <f>IF(AH54=1,"",IF(INDEX($B$6:$Y$23,($AC$3-1-5)*$AC$4+AJ54+1,0*$AC$5+AI54+1)="","",TEXT(INDEX($B$6:$Y$23,($AC$3-1-5)*$AC$4+AJ54+1,0*$AC$5+AI54+1),"#,##0")))</f>
        <v>914</v>
      </c>
      <c r="BJ54" t="str">
        <f>IF(AH54=1,"",IF(INDEX($B$6:$Y$23,($AC$3-1-5)*$AC$4+AJ54+1,1*$AC$5+AI54+1)="","",TEXT(INDEX($B$6:$Y$23,($AC$3-1-5)*$AC$4+AJ54+1,1*$AC$5+AI54+1),"#,##0")))</f>
        <v>915</v>
      </c>
      <c r="BR54">
        <v>16.5</v>
      </c>
      <c r="BS54" t="e">
        <f>IF(OR($AC$17&gt;0,$AC$18&lt;0),NA(),3+$AC$20)</f>
        <v>#N/A</v>
      </c>
    </row>
    <row r="55" spans="28:71" x14ac:dyDescent="0.35">
      <c r="AB55">
        <v>32</v>
      </c>
      <c r="AC55">
        <f>AB55-$AC$12</f>
        <v>29</v>
      </c>
      <c r="AD55">
        <f>IF(AC55&lt;=0,-1,INT((AC55-1)/($AC$10+$AC$11)))</f>
        <v>2</v>
      </c>
      <c r="AE55">
        <f>IF(AC55&lt;=0,-1,MOD(AC55-1,($AC$10+$AC$11)))</f>
        <v>2</v>
      </c>
      <c r="AF55">
        <f>IF(OR(AE55&lt;0,AE55&gt;=$AC$10),-1,INT(AE55/$AC$9))</f>
        <v>2</v>
      </c>
      <c r="AG55">
        <f>IF(OR(AE55&lt;0,AE55&gt;=$AC$10),-1,MOD(AE55,$AC$9))</f>
        <v>0</v>
      </c>
      <c r="AH55">
        <f>IF(OR(AC55&lt;=0,AE55&lt;0,AE55&gt;=$AC$10,AD55&gt;=$AC$7),1,0)</f>
        <v>0</v>
      </c>
      <c r="AI55">
        <f>IF(AH55=1,-1,AF55)</f>
        <v>2</v>
      </c>
      <c r="AJ55">
        <f>IF(AH55=1,-1,AD55)</f>
        <v>2</v>
      </c>
      <c r="AK55" t="str">
        <f>IF(AH55=1,"",IF(AND(MOD(AI55,3)=0,AG55=INT(($AC$9-1)/2)),INDEX($B$5:$M$5,AI55+1),""))</f>
        <v/>
      </c>
      <c r="AL55">
        <f>IF(AH55=1,NA(),IF(INDEX($B$6:$Y$23,($AC$3-1-0)*$AC$4+AJ55+1,0*$AC$5+AI55+1)="",NA(),0+(INDEX($B$6:$Y$23,($AC$3-1-0)*$AC$4+AJ55+1,0*$AC$5+AI55+1)-$AC$17)/$AC$19*$AC$13))</f>
        <v>0.32690666666666662</v>
      </c>
      <c r="AM55">
        <f>IF(AH55=1,NA(),IF(INDEX($B$6:$Y$23,($AC$3-1-0)*$AC$4+AJ55+1,1*$AC$5+AI55+1)="",NA(),0+(INDEX($B$6:$Y$23,($AC$3-1-0)*$AC$4+AJ55+1,1*$AC$5+AI55+1)-$AC$17)/$AC$19*$AC$13))</f>
        <v>0.3075</v>
      </c>
      <c r="AN55">
        <f>IF(AH55=1,NA(),IF(INDEX($B$6:$Y$23,($AC$3-1-1)*$AC$4+AJ55+1,0*$AC$5+AI55+1)="",NA(),1+(INDEX($B$6:$Y$23,($AC$3-1-1)*$AC$4+AJ55+1,0*$AC$5+AI55+1)-$AC$17)/$AC$19*$AC$13))</f>
        <v>1.3794777777777778</v>
      </c>
      <c r="AO55">
        <f>IF(AH55=1,NA(),IF(INDEX($B$6:$Y$23,($AC$3-1-1)*$AC$4+AJ55+1,1*$AC$5+AI55+1)="",NA(),1+(INDEX($B$6:$Y$23,($AC$3-1-1)*$AC$4+AJ55+1,1*$AC$5+AI55+1)-$AC$17)/$AC$19*$AC$13))</f>
        <v>1.3585222222222222</v>
      </c>
      <c r="AP55">
        <f>IF(AH55=1,NA(),IF(INDEX($B$6:$Y$23,($AC$3-1-2)*$AC$4+AJ55+1,0*$AC$5+AI55+1)="",NA(),2+(INDEX($B$6:$Y$23,($AC$3-1-2)*$AC$4+AJ55+1,0*$AC$5+AI55+1)-$AC$17)/$AC$19*$AC$13))</f>
        <v>2.4320488888888887</v>
      </c>
      <c r="AQ55">
        <f>IF(AH55=1,NA(),IF(INDEX($B$6:$Y$23,($AC$3-1-2)*$AC$4+AJ55+1,1*$AC$5+AI55+1)="",NA(),2+(INDEX($B$6:$Y$23,($AC$3-1-2)*$AC$4+AJ55+1,1*$AC$5+AI55+1)-$AC$17)/$AC$19*$AC$13))</f>
        <v>2.4095444444444443</v>
      </c>
      <c r="AR55">
        <f>IF(AH55=1,NA(),IF(INDEX($B$6:$Y$23,($AC$3-1-3)*$AC$4+AJ55+1,0*$AC$5+AI55+1)="",NA(),3+(INDEX($B$6:$Y$23,($AC$3-1-3)*$AC$4+AJ55+1,0*$AC$5+AI55+1)-$AC$17)/$AC$19*$AC$13))</f>
        <v>3.4847111111111113</v>
      </c>
      <c r="AS55">
        <f>IF(AH55=1,NA(),IF(INDEX($B$6:$Y$23,($AC$3-1-3)*$AC$4+AJ55+1,1*$AC$5+AI55+1)="",NA(),3+(INDEX($B$6:$Y$23,($AC$3-1-3)*$AC$4+AJ55+1,1*$AC$5+AI55+1)-$AC$17)/$AC$19*$AC$13))</f>
        <v>3.4605666666666668</v>
      </c>
      <c r="AT55">
        <f>IF(AH55=1,NA(),IF(INDEX($B$6:$Y$23,($AC$3-1-4)*$AC$4+AJ55+1,0*$AC$5+AI55+1)="",NA(),4+(INDEX($B$6:$Y$23,($AC$3-1-4)*$AC$4+AJ55+1,0*$AC$5+AI55+1)-$AC$17)/$AC$19*$AC$13))</f>
        <v>4.537373333333333</v>
      </c>
      <c r="AU55">
        <f>IF(AH55=1,NA(),IF(INDEX($B$6:$Y$23,($AC$3-1-4)*$AC$4+AJ55+1,1*$AC$5+AI55+1)="",NA(),4+(INDEX($B$6:$Y$23,($AC$3-1-4)*$AC$4+AJ55+1,1*$AC$5+AI55+1)-$AC$17)/$AC$19*$AC$13))</f>
        <v>4.5116800000000001</v>
      </c>
      <c r="AV55">
        <f>IF(AH55=1,NA(),IF(INDEX($B$6:$Y$23,($AC$3-1-5)*$AC$4+AJ55+1,0*$AC$5+AI55+1)="",NA(),5+(INDEX($B$6:$Y$23,($AC$3-1-5)*$AC$4+AJ55+1,0*$AC$5+AI55+1)-$AC$17)/$AC$19*$AC$13))</f>
        <v>5.5899444444444448</v>
      </c>
      <c r="AW55">
        <f>IF(AH55=1,NA(),IF(INDEX($B$6:$Y$23,($AC$3-1-5)*$AC$4+AJ55+1,1*$AC$5+AI55+1)="",NA(),5+(INDEX($B$6:$Y$23,($AC$3-1-5)*$AC$4+AJ55+1,1*$AC$5+AI55+1)-$AC$17)/$AC$19*$AC$13))</f>
        <v>5.5627022222222227</v>
      </c>
      <c r="AY55" t="str">
        <f>IF(AH55=1,"",IF(INDEX($B$6:$Y$23,($AC$3-1-0)*$AC$4+AJ55+1,0*$AC$5+AI55+1)="","",TEXT(INDEX($B$6:$Y$23,($AC$3-1-0)*$AC$4+AJ55+1,0*$AC$5+AI55+1),"#,##0")))</f>
        <v>709</v>
      </c>
      <c r="AZ55" t="str">
        <f>IF(AH55=1,"",IF(INDEX($B$6:$Y$23,($AC$3-1-0)*$AC$4+AJ55+1,1*$AC$5+AI55+1)="","",TEXT(INDEX($B$6:$Y$23,($AC$3-1-0)*$AC$4+AJ55+1,1*$AC$5+AI55+1),"#,##0")))</f>
        <v>688</v>
      </c>
      <c r="BA55" t="str">
        <f>IF(AH55=1,"",IF(INDEX($B$6:$Y$23,($AC$3-1-1)*$AC$4+AJ55+1,0*$AC$5+AI55+1)="","",TEXT(INDEX($B$6:$Y$23,($AC$3-1-1)*$AC$4+AJ55+1,0*$AC$5+AI55+1),"#,##0")))</f>
        <v>767</v>
      </c>
      <c r="BB55" t="str">
        <f>IF(AH55=1,"",IF(INDEX($B$6:$Y$23,($AC$3-1-1)*$AC$4+AJ55+1,1*$AC$5+AI55+1)="","",TEXT(INDEX($B$6:$Y$23,($AC$3-1-1)*$AC$4+AJ55+1,1*$AC$5+AI55+1),"#,##0")))</f>
        <v>744</v>
      </c>
      <c r="BC55" t="str">
        <f>IF(AH55=1,"",IF(INDEX($B$6:$Y$23,($AC$3-1-2)*$AC$4+AJ55+1,0*$AC$5+AI55+1)="","",TEXT(INDEX($B$6:$Y$23,($AC$3-1-2)*$AC$4+AJ55+1,0*$AC$5+AI55+1),"#,##0")))</f>
        <v>824</v>
      </c>
      <c r="BD55" t="str">
        <f>IF(AH55=1,"",IF(INDEX($B$6:$Y$23,($AC$3-1-2)*$AC$4+AJ55+1,1*$AC$5+AI55+1)="","",TEXT(INDEX($B$6:$Y$23,($AC$3-1-2)*$AC$4+AJ55+1,1*$AC$5+AI55+1),"#,##0")))</f>
        <v>800</v>
      </c>
      <c r="BE55" t="str">
        <f>IF(AH55=1,"",IF(INDEX($B$6:$Y$23,($AC$3-1-3)*$AC$4+AJ55+1,0*$AC$5+AI55+1)="","",TEXT(INDEX($B$6:$Y$23,($AC$3-1-3)*$AC$4+AJ55+1,0*$AC$5+AI55+1),"#,##0")))</f>
        <v>882</v>
      </c>
      <c r="BF55" t="str">
        <f>IF(AH55=1,"",IF(INDEX($B$6:$Y$23,($AC$3-1-3)*$AC$4+AJ55+1,1*$AC$5+AI55+1)="","",TEXT(INDEX($B$6:$Y$23,($AC$3-1-3)*$AC$4+AJ55+1,1*$AC$5+AI55+1),"#,##0")))</f>
        <v>856</v>
      </c>
      <c r="BG55" t="str">
        <f>IF(AH55=1,"",IF(INDEX($B$6:$Y$23,($AC$3-1-4)*$AC$4+AJ55+1,0*$AC$5+AI55+1)="","",TEXT(INDEX($B$6:$Y$23,($AC$3-1-4)*$AC$4+AJ55+1,0*$AC$5+AI55+1),"#,##0")))</f>
        <v>940</v>
      </c>
      <c r="BH55" t="str">
        <f>IF(AH55=1,"",IF(INDEX($B$6:$Y$23,($AC$3-1-4)*$AC$4+AJ55+1,1*$AC$5+AI55+1)="","",TEXT(INDEX($B$6:$Y$23,($AC$3-1-4)*$AC$4+AJ55+1,1*$AC$5+AI55+1),"#,##0")))</f>
        <v>912</v>
      </c>
      <c r="BI55" t="str">
        <f>IF(AH55=1,"",IF(INDEX($B$6:$Y$23,($AC$3-1-5)*$AC$4+AJ55+1,0*$AC$5+AI55+1)="","",TEXT(INDEX($B$6:$Y$23,($AC$3-1-5)*$AC$4+AJ55+1,0*$AC$5+AI55+1),"#,##0")))</f>
        <v>998</v>
      </c>
      <c r="BJ55" t="str">
        <f>IF(AH55=1,"",IF(INDEX($B$6:$Y$23,($AC$3-1-5)*$AC$4+AJ55+1,1*$AC$5+AI55+1)="","",TEXT(INDEX($B$6:$Y$23,($AC$3-1-5)*$AC$4+AJ55+1,1*$AC$5+AI55+1),"#,##0")))</f>
        <v>968</v>
      </c>
      <c r="BR55">
        <v>28.5</v>
      </c>
      <c r="BS55" t="e">
        <f>IF(OR($AC$17&gt;0,$AC$18&lt;0),NA(),3+$AC$20)</f>
        <v>#N/A</v>
      </c>
    </row>
    <row r="56" spans="28:71" x14ac:dyDescent="0.35">
      <c r="AB56">
        <v>33</v>
      </c>
      <c r="AC56">
        <f>AB56-$AC$12</f>
        <v>30</v>
      </c>
      <c r="AD56">
        <f>IF(AC56&lt;=0,-1,INT((AC56-1)/($AC$10+$AC$11)))</f>
        <v>2</v>
      </c>
      <c r="AE56">
        <f>IF(AC56&lt;=0,-1,MOD(AC56-1,($AC$10+$AC$11)))</f>
        <v>3</v>
      </c>
      <c r="AF56">
        <f>IF(OR(AE56&lt;0,AE56&gt;=$AC$10),-1,INT(AE56/$AC$9))</f>
        <v>3</v>
      </c>
      <c r="AG56">
        <f>IF(OR(AE56&lt;0,AE56&gt;=$AC$10),-1,MOD(AE56,$AC$9))</f>
        <v>0</v>
      </c>
      <c r="AH56">
        <f>IF(OR(AC56&lt;=0,AE56&lt;0,AE56&gt;=$AC$10,AD56&gt;=$AC$7),1,0)</f>
        <v>0</v>
      </c>
      <c r="AI56">
        <f>IF(AH56=1,-1,AF56)</f>
        <v>3</v>
      </c>
      <c r="AJ56">
        <f>IF(AH56=1,-1,AD56)</f>
        <v>2</v>
      </c>
      <c r="AK56" t="str">
        <f>IF(AH56=1,"",IF(AND(MOD(AI56,3)=0,AG56=INT(($AC$9-1)/2)),INDEX($B$5:$M$5,AI56+1),""))</f>
        <v>Apr</v>
      </c>
      <c r="AL56">
        <f>IF(AH56=1,NA(),IF(INDEX($B$6:$Y$23,($AC$3-1-0)*$AC$4+AJ56+1,0*$AC$5+AI56+1)="",NA(),0+(INDEX($B$6:$Y$23,($AC$3-1-0)*$AC$4+AJ56+1,0*$AC$5+AI56+1)-$AC$17)/$AC$19*$AC$13))</f>
        <v>0.39688000000000001</v>
      </c>
      <c r="AM56">
        <f>IF(AH56=1,NA(),IF(INDEX($B$6:$Y$23,($AC$3-1-0)*$AC$4+AJ56+1,1*$AC$5+AI56+1)="",NA(),0+(INDEX($B$6:$Y$23,($AC$3-1-0)*$AC$4+AJ56+1,1*$AC$5+AI56+1)-$AC$17)/$AC$19*$AC$13))</f>
        <v>0.34977555555555551</v>
      </c>
      <c r="AN56">
        <f>IF(AH56=1,NA(),IF(INDEX($B$6:$Y$23,($AC$3-1-1)*$AC$4+AJ56+1,0*$AC$5+AI56+1)="",NA(),1+(INDEX($B$6:$Y$23,($AC$3-1-1)*$AC$4+AJ56+1,0*$AC$5+AI56+1)-$AC$17)/$AC$19*$AC$13))</f>
        <v>1.4508177777777778</v>
      </c>
      <c r="AO56">
        <f>IF(AH56=1,NA(),IF(INDEX($B$6:$Y$23,($AC$3-1-1)*$AC$4+AJ56+1,1*$AC$5+AI56+1)="",NA(),1+(INDEX($B$6:$Y$23,($AC$3-1-1)*$AC$4+AJ56+1,1*$AC$5+AI56+1)-$AC$17)/$AC$19*$AC$13))</f>
        <v>1.4019822222222222</v>
      </c>
      <c r="AP56">
        <f>IF(AH56=1,NA(),IF(INDEX($B$6:$Y$23,($AC$3-1-2)*$AC$4+AJ56+1,0*$AC$5+AI56+1)="",NA(),2+(INDEX($B$6:$Y$23,($AC$3-1-2)*$AC$4+AJ56+1,0*$AC$5+AI56+1)-$AC$17)/$AC$19*$AC$13))</f>
        <v>2.5046644444444444</v>
      </c>
      <c r="AQ56">
        <f>IF(AH56=1,NA(),IF(INDEX($B$6:$Y$23,($AC$3-1-2)*$AC$4+AJ56+1,1*$AC$5+AI56+1)="",NA(),2+(INDEX($B$6:$Y$23,($AC$3-1-2)*$AC$4+AJ56+1,1*$AC$5+AI56+1)-$AC$17)/$AC$19*$AC$13))</f>
        <v>2.4542799999999998</v>
      </c>
      <c r="AR56">
        <f>IF(AH56=1,NA(),IF(INDEX($B$6:$Y$23,($AC$3-1-3)*$AC$4+AJ56+1,0*$AC$5+AI56+1)="",NA(),3+(INDEX($B$6:$Y$23,($AC$3-1-3)*$AC$4+AJ56+1,0*$AC$5+AI56+1)-$AC$17)/$AC$19*$AC$13))</f>
        <v>3.5585111111111112</v>
      </c>
      <c r="AS56">
        <f>IF(AH56=1,NA(),IF(INDEX($B$6:$Y$23,($AC$3-1-3)*$AC$4+AJ56+1,1*$AC$5+AI56+1)="",NA(),3+(INDEX($B$6:$Y$23,($AC$3-1-3)*$AC$4+AJ56+1,1*$AC$5+AI56+1)-$AC$17)/$AC$19*$AC$13))</f>
        <v>3.5064866666666665</v>
      </c>
      <c r="AT56">
        <f>IF(AH56=1,NA(),IF(INDEX($B$6:$Y$23,($AC$3-1-4)*$AC$4+AJ56+1,0*$AC$5+AI56+1)="",NA(),4+(INDEX($B$6:$Y$23,($AC$3-1-4)*$AC$4+AJ56+1,0*$AC$5+AI56+1)-$AC$17)/$AC$19*$AC$13))</f>
        <v>4.6123577777777776</v>
      </c>
      <c r="AU56">
        <f>IF(AH56=1,NA(),IF(INDEX($B$6:$Y$23,($AC$3-1-4)*$AC$4+AJ56+1,1*$AC$5+AI56+1)="",NA(),4+(INDEX($B$6:$Y$23,($AC$3-1-4)*$AC$4+AJ56+1,1*$AC$5+AI56+1)-$AC$17)/$AC$19*$AC$13))</f>
        <v>4.5587844444444441</v>
      </c>
      <c r="AV56">
        <f>IF(AH56=1,NA(),IF(INDEX($B$6:$Y$23,($AC$3-1-5)*$AC$4+AJ56+1,0*$AC$5+AI56+1)="",NA(),5+(INDEX($B$6:$Y$23,($AC$3-1-5)*$AC$4+AJ56+1,0*$AC$5+AI56+1)-$AC$17)/$AC$19*$AC$13))</f>
        <v>5.6662044444444444</v>
      </c>
      <c r="AW56">
        <f>IF(AH56=1,NA(),IF(INDEX($B$6:$Y$23,($AC$3-1-5)*$AC$4+AJ56+1,1*$AC$5+AI56+1)="",NA(),5+(INDEX($B$6:$Y$23,($AC$3-1-5)*$AC$4+AJ56+1,1*$AC$5+AI56+1)-$AC$17)/$AC$19*$AC$13))</f>
        <v>5.6109911111111108</v>
      </c>
      <c r="AY56" t="str">
        <f>IF(AH56=1,"",IF(INDEX($B$6:$Y$23,($AC$3-1-0)*$AC$4+AJ56+1,0*$AC$5+AI56+1)="","",TEXT(INDEX($B$6:$Y$23,($AC$3-1-0)*$AC$4+AJ56+1,0*$AC$5+AI56+1),"#,##0")))</f>
        <v>786</v>
      </c>
      <c r="AZ56" t="str">
        <f>IF(AH56=1,"",IF(INDEX($B$6:$Y$23,($AC$3-1-0)*$AC$4+AJ56+1,1*$AC$5+AI56+1)="","",TEXT(INDEX($B$6:$Y$23,($AC$3-1-0)*$AC$4+AJ56+1,1*$AC$5+AI56+1),"#,##0")))</f>
        <v>734</v>
      </c>
      <c r="BA56" t="str">
        <f>IF(AH56=1,"",IF(INDEX($B$6:$Y$23,($AC$3-1-1)*$AC$4+AJ56+1,0*$AC$5+AI56+1)="","",TEXT(INDEX($B$6:$Y$23,($AC$3-1-1)*$AC$4+AJ56+1,0*$AC$5+AI56+1),"#,##0")))</f>
        <v>845</v>
      </c>
      <c r="BB56" t="str">
        <f>IF(AH56=1,"",IF(INDEX($B$6:$Y$23,($AC$3-1-1)*$AC$4+AJ56+1,1*$AC$5+AI56+1)="","",TEXT(INDEX($B$6:$Y$23,($AC$3-1-1)*$AC$4+AJ56+1,1*$AC$5+AI56+1),"#,##0")))</f>
        <v>791</v>
      </c>
      <c r="BC56" t="str">
        <f>IF(AH56=1,"",IF(INDEX($B$6:$Y$23,($AC$3-1-2)*$AC$4+AJ56+1,0*$AC$5+AI56+1)="","",TEXT(INDEX($B$6:$Y$23,($AC$3-1-2)*$AC$4+AJ56+1,0*$AC$5+AI56+1),"#,##0")))</f>
        <v>904</v>
      </c>
      <c r="BD56" t="str">
        <f>IF(AH56=1,"",IF(INDEX($B$6:$Y$23,($AC$3-1-2)*$AC$4+AJ56+1,1*$AC$5+AI56+1)="","",TEXT(INDEX($B$6:$Y$23,($AC$3-1-2)*$AC$4+AJ56+1,1*$AC$5+AI56+1),"#,##0")))</f>
        <v>849</v>
      </c>
      <c r="BE56" t="str">
        <f>IF(AH56=1,"",IF(INDEX($B$6:$Y$23,($AC$3-1-3)*$AC$4+AJ56+1,0*$AC$5+AI56+1)="","",TEXT(INDEX($B$6:$Y$23,($AC$3-1-3)*$AC$4+AJ56+1,0*$AC$5+AI56+1),"#,##0")))</f>
        <v>963</v>
      </c>
      <c r="BF56" t="str">
        <f>IF(AH56=1,"",IF(INDEX($B$6:$Y$23,($AC$3-1-3)*$AC$4+AJ56+1,1*$AC$5+AI56+1)="","",TEXT(INDEX($B$6:$Y$23,($AC$3-1-3)*$AC$4+AJ56+1,1*$AC$5+AI56+1),"#,##0")))</f>
        <v>906</v>
      </c>
      <c r="BG56" t="str">
        <f>IF(AH56=1,"",IF(INDEX($B$6:$Y$23,($AC$3-1-4)*$AC$4+AJ56+1,0*$AC$5+AI56+1)="","",TEXT(INDEX($B$6:$Y$23,($AC$3-1-4)*$AC$4+AJ56+1,0*$AC$5+AI56+1),"#,##0")))</f>
        <v>1,022</v>
      </c>
      <c r="BH56" t="str">
        <f>IF(AH56=1,"",IF(INDEX($B$6:$Y$23,($AC$3-1-4)*$AC$4+AJ56+1,1*$AC$5+AI56+1)="","",TEXT(INDEX($B$6:$Y$23,($AC$3-1-4)*$AC$4+AJ56+1,1*$AC$5+AI56+1),"#,##0")))</f>
        <v>963</v>
      </c>
      <c r="BI56" t="str">
        <f>IF(AH56=1,"",IF(INDEX($B$6:$Y$23,($AC$3-1-5)*$AC$4+AJ56+1,0*$AC$5+AI56+1)="","",TEXT(INDEX($B$6:$Y$23,($AC$3-1-5)*$AC$4+AJ56+1,0*$AC$5+AI56+1),"#,##0")))</f>
        <v>1,081</v>
      </c>
      <c r="BJ56" t="str">
        <f>IF(AH56=1,"",IF(INDEX($B$6:$Y$23,($AC$3-1-5)*$AC$4+AJ56+1,1*$AC$5+AI56+1)="","",TEXT(INDEX($B$6:$Y$23,($AC$3-1-5)*$AC$4+AJ56+1,1*$AC$5+AI56+1),"#,##0")))</f>
        <v>1,021</v>
      </c>
      <c r="BR56">
        <v>28.5</v>
      </c>
      <c r="BS56" t="e">
        <f>NA()</f>
        <v>#N/A</v>
      </c>
    </row>
    <row r="57" spans="28:71" x14ac:dyDescent="0.35">
      <c r="AB57">
        <v>34</v>
      </c>
      <c r="AC57">
        <f>AB57-$AC$12</f>
        <v>31</v>
      </c>
      <c r="AD57">
        <f>IF(AC57&lt;=0,-1,INT((AC57-1)/($AC$10+$AC$11)))</f>
        <v>2</v>
      </c>
      <c r="AE57">
        <f>IF(AC57&lt;=0,-1,MOD(AC57-1,($AC$10+$AC$11)))</f>
        <v>4</v>
      </c>
      <c r="AF57">
        <f>IF(OR(AE57&lt;0,AE57&gt;=$AC$10),-1,INT(AE57/$AC$9))</f>
        <v>4</v>
      </c>
      <c r="AG57">
        <f>IF(OR(AE57&lt;0,AE57&gt;=$AC$10),-1,MOD(AE57,$AC$9))</f>
        <v>0</v>
      </c>
      <c r="AH57">
        <f>IF(OR(AC57&lt;=0,AE57&lt;0,AE57&gt;=$AC$10,AD57&gt;=$AC$7),1,0)</f>
        <v>0</v>
      </c>
      <c r="AI57">
        <f>IF(AH57=1,-1,AF57)</f>
        <v>4</v>
      </c>
      <c r="AJ57">
        <f>IF(AH57=1,-1,AD57)</f>
        <v>2</v>
      </c>
      <c r="AK57" t="str">
        <f>IF(AH57=1,"",IF(AND(MOD(AI57,3)=0,AG57=INT(($AC$9-1)/2)),INDEX($B$5:$M$5,AI57+1),""))</f>
        <v/>
      </c>
      <c r="AL57">
        <f>IF(AH57=1,NA(),IF(INDEX($B$6:$Y$23,($AC$3-1-0)*$AC$4+AJ57+1,0*$AC$5+AI57+1)="",NA(),0+(INDEX($B$6:$Y$23,($AC$3-1-0)*$AC$4+AJ57+1,0*$AC$5+AI57+1)-$AC$17)/$AC$19*$AC$13))</f>
        <v>0.30294444444444446</v>
      </c>
      <c r="AM57">
        <f>IF(AH57=1,NA(),IF(INDEX($B$6:$Y$23,($AC$3-1-0)*$AC$4+AJ57+1,1*$AC$5+AI57+1)="",NA(),0+(INDEX($B$6:$Y$23,($AC$3-1-0)*$AC$4+AJ57+1,1*$AC$5+AI57+1)-$AC$17)/$AC$19*$AC$13))</f>
        <v>0.30996000000000001</v>
      </c>
      <c r="AN57">
        <f>IF(AH57=1,NA(),IF(INDEX($B$6:$Y$23,($AC$3-1-1)*$AC$4+AJ57+1,0*$AC$5+AI57+1)="",NA(),1+(INDEX($B$6:$Y$23,($AC$3-1-1)*$AC$4+AJ57+1,0*$AC$5+AI57+1)-$AC$17)/$AC$19*$AC$13))</f>
        <v>1.3580666666666668</v>
      </c>
      <c r="AO57">
        <f>IF(AH57=1,NA(),IF(INDEX($B$6:$Y$23,($AC$3-1-1)*$AC$4+AJ57+1,1*$AC$5+AI57+1)="",NA(),1+(INDEX($B$6:$Y$23,($AC$3-1-1)*$AC$4+AJ57+1,1*$AC$5+AI57+1)-$AC$17)/$AC$19*$AC$13))</f>
        <v>1.3634422222222222</v>
      </c>
      <c r="AP57">
        <f>IF(AH57=1,NA(),IF(INDEX($B$6:$Y$23,($AC$3-1-2)*$AC$4+AJ57+1,0*$AC$5+AI57+1)="",NA(),2+(INDEX($B$6:$Y$23,($AC$3-1-2)*$AC$4+AJ57+1,0*$AC$5+AI57+1)-$AC$17)/$AC$19*$AC$13))</f>
        <v>2.413188888888889</v>
      </c>
      <c r="AQ57">
        <f>IF(AH57=1,NA(),IF(INDEX($B$6:$Y$23,($AC$3-1-2)*$AC$4+AJ57+1,1*$AC$5+AI57+1)="",NA(),2+(INDEX($B$6:$Y$23,($AC$3-1-2)*$AC$4+AJ57+1,1*$AC$5+AI57+1)-$AC$17)/$AC$19*$AC$13))</f>
        <v>2.4169244444444447</v>
      </c>
      <c r="AR57">
        <f>IF(AH57=1,NA(),IF(INDEX($B$6:$Y$23,($AC$3-1-3)*$AC$4+AJ57+1,0*$AC$5+AI57+1)="",NA(),3+(INDEX($B$6:$Y$23,($AC$3-1-3)*$AC$4+AJ57+1,0*$AC$5+AI57+1)-$AC$17)/$AC$19*$AC$13))</f>
        <v>3.4683111111111109</v>
      </c>
      <c r="AS57">
        <f>IF(AH57=1,NA(),IF(INDEX($B$6:$Y$23,($AC$3-1-3)*$AC$4+AJ57+1,1*$AC$5+AI57+1)="",NA(),3+(INDEX($B$6:$Y$23,($AC$3-1-3)*$AC$4+AJ57+1,1*$AC$5+AI57+1)-$AC$17)/$AC$19*$AC$13))</f>
        <v>3.4704066666666664</v>
      </c>
      <c r="AT57">
        <f>IF(AH57=1,NA(),IF(INDEX($B$6:$Y$23,($AC$3-1-4)*$AC$4+AJ57+1,0*$AC$5+AI57+1)="",NA(),4+(INDEX($B$6:$Y$23,($AC$3-1-4)*$AC$4+AJ57+1,0*$AC$5+AI57+1)-$AC$17)/$AC$19*$AC$13))</f>
        <v>4.5234333333333332</v>
      </c>
      <c r="AU57">
        <f>IF(AH57=1,NA(),IF(INDEX($B$6:$Y$23,($AC$3-1-4)*$AC$4+AJ57+1,1*$AC$5+AI57+1)="",NA(),4+(INDEX($B$6:$Y$23,($AC$3-1-4)*$AC$4+AJ57+1,1*$AC$5+AI57+1)-$AC$17)/$AC$19*$AC$13))</f>
        <v>4.5238888888888891</v>
      </c>
      <c r="AV57">
        <f>IF(AH57=1,NA(),IF(INDEX($B$6:$Y$23,($AC$3-1-5)*$AC$4+AJ57+1,0*$AC$5+AI57+1)="",NA(),5+(INDEX($B$6:$Y$23,($AC$3-1-5)*$AC$4+AJ57+1,0*$AC$5+AI57+1)-$AC$17)/$AC$19*$AC$13))</f>
        <v>5.5785555555555559</v>
      </c>
      <c r="AW57">
        <f>IF(AH57=1,NA(),IF(INDEX($B$6:$Y$23,($AC$3-1-5)*$AC$4+AJ57+1,1*$AC$5+AI57+1)="",NA(),5+(INDEX($B$6:$Y$23,($AC$3-1-5)*$AC$4+AJ57+1,1*$AC$5+AI57+1)-$AC$17)/$AC$19*$AC$13))</f>
        <v>5.57728</v>
      </c>
      <c r="AY57" t="str">
        <f>IF(AH57=1,"",IF(INDEX($B$6:$Y$23,($AC$3-1-0)*$AC$4+AJ57+1,0*$AC$5+AI57+1)="","",TEXT(INDEX($B$6:$Y$23,($AC$3-1-0)*$AC$4+AJ57+1,0*$AC$5+AI57+1),"#,##0")))</f>
        <v>683</v>
      </c>
      <c r="AZ57" t="str">
        <f>IF(AH57=1,"",IF(INDEX($B$6:$Y$23,($AC$3-1-0)*$AC$4+AJ57+1,1*$AC$5+AI57+1)="","",TEXT(INDEX($B$6:$Y$23,($AC$3-1-0)*$AC$4+AJ57+1,1*$AC$5+AI57+1),"#,##0")))</f>
        <v>690</v>
      </c>
      <c r="BA57" t="str">
        <f>IF(AH57=1,"",IF(INDEX($B$6:$Y$23,($AC$3-1-1)*$AC$4+AJ57+1,0*$AC$5+AI57+1)="","",TEXT(INDEX($B$6:$Y$23,($AC$3-1-1)*$AC$4+AJ57+1,0*$AC$5+AI57+1),"#,##0")))</f>
        <v>743</v>
      </c>
      <c r="BB57" t="str">
        <f>IF(AH57=1,"",IF(INDEX($B$6:$Y$23,($AC$3-1-1)*$AC$4+AJ57+1,1*$AC$5+AI57+1)="","",TEXT(INDEX($B$6:$Y$23,($AC$3-1-1)*$AC$4+AJ57+1,1*$AC$5+AI57+1),"#,##0")))</f>
        <v>749</v>
      </c>
      <c r="BC57" t="str">
        <f>IF(AH57=1,"",IF(INDEX($B$6:$Y$23,($AC$3-1-2)*$AC$4+AJ57+1,0*$AC$5+AI57+1)="","",TEXT(INDEX($B$6:$Y$23,($AC$3-1-2)*$AC$4+AJ57+1,0*$AC$5+AI57+1),"#,##0")))</f>
        <v>804</v>
      </c>
      <c r="BD57" t="str">
        <f>IF(AH57=1,"",IF(INDEX($B$6:$Y$23,($AC$3-1-2)*$AC$4+AJ57+1,1*$AC$5+AI57+1)="","",TEXT(INDEX($B$6:$Y$23,($AC$3-1-2)*$AC$4+AJ57+1,1*$AC$5+AI57+1),"#,##0")))</f>
        <v>808</v>
      </c>
      <c r="BE57" t="str">
        <f>IF(AH57=1,"",IF(INDEX($B$6:$Y$23,($AC$3-1-3)*$AC$4+AJ57+1,0*$AC$5+AI57+1)="","",TEXT(INDEX($B$6:$Y$23,($AC$3-1-3)*$AC$4+AJ57+1,0*$AC$5+AI57+1),"#,##0")))</f>
        <v>864</v>
      </c>
      <c r="BF57" t="str">
        <f>IF(AH57=1,"",IF(INDEX($B$6:$Y$23,($AC$3-1-3)*$AC$4+AJ57+1,1*$AC$5+AI57+1)="","",TEXT(INDEX($B$6:$Y$23,($AC$3-1-3)*$AC$4+AJ57+1,1*$AC$5+AI57+1),"#,##0")))</f>
        <v>866</v>
      </c>
      <c r="BG57" t="str">
        <f>IF(AH57=1,"",IF(INDEX($B$6:$Y$23,($AC$3-1-4)*$AC$4+AJ57+1,0*$AC$5+AI57+1)="","",TEXT(INDEX($B$6:$Y$23,($AC$3-1-4)*$AC$4+AJ57+1,0*$AC$5+AI57+1),"#,##0")))</f>
        <v>925</v>
      </c>
      <c r="BH57" t="str">
        <f>IF(AH57=1,"",IF(INDEX($B$6:$Y$23,($AC$3-1-4)*$AC$4+AJ57+1,1*$AC$5+AI57+1)="","",TEXT(INDEX($B$6:$Y$23,($AC$3-1-4)*$AC$4+AJ57+1,1*$AC$5+AI57+1),"#,##0")))</f>
        <v>925</v>
      </c>
      <c r="BI57" t="str">
        <f>IF(AH57=1,"",IF(INDEX($B$6:$Y$23,($AC$3-1-5)*$AC$4+AJ57+1,0*$AC$5+AI57+1)="","",TEXT(INDEX($B$6:$Y$23,($AC$3-1-5)*$AC$4+AJ57+1,0*$AC$5+AI57+1),"#,##0")))</f>
        <v>985</v>
      </c>
      <c r="BJ57" t="str">
        <f>IF(AH57=1,"",IF(INDEX($B$6:$Y$23,($AC$3-1-5)*$AC$4+AJ57+1,1*$AC$5+AI57+1)="","",TEXT(INDEX($B$6:$Y$23,($AC$3-1-5)*$AC$4+AJ57+1,1*$AC$5+AI57+1),"#,##0")))</f>
        <v>984</v>
      </c>
      <c r="BR57">
        <v>29.5</v>
      </c>
      <c r="BS57" t="e">
        <f>IF(OR($AC$17&gt;0,$AC$18&lt;0),NA(),3+$AC$20)</f>
        <v>#N/A</v>
      </c>
    </row>
    <row r="58" spans="28:71" x14ac:dyDescent="0.35">
      <c r="AB58">
        <v>35</v>
      </c>
      <c r="AC58">
        <f>AB58-$AC$12</f>
        <v>32</v>
      </c>
      <c r="AD58">
        <f>IF(AC58&lt;=0,-1,INT((AC58-1)/($AC$10+$AC$11)))</f>
        <v>2</v>
      </c>
      <c r="AE58">
        <f>IF(AC58&lt;=0,-1,MOD(AC58-1,($AC$10+$AC$11)))</f>
        <v>5</v>
      </c>
      <c r="AF58">
        <f>IF(OR(AE58&lt;0,AE58&gt;=$AC$10),-1,INT(AE58/$AC$9))</f>
        <v>5</v>
      </c>
      <c r="AG58">
        <f>IF(OR(AE58&lt;0,AE58&gt;=$AC$10),-1,MOD(AE58,$AC$9))</f>
        <v>0</v>
      </c>
      <c r="AH58">
        <f>IF(OR(AC58&lt;=0,AE58&lt;0,AE58&gt;=$AC$10,AD58&gt;=$AC$7),1,0)</f>
        <v>0</v>
      </c>
      <c r="AI58">
        <f>IF(AH58=1,-1,AF58)</f>
        <v>5</v>
      </c>
      <c r="AJ58">
        <f>IF(AH58=1,-1,AD58)</f>
        <v>2</v>
      </c>
      <c r="AK58" t="str">
        <f>IF(AH58=1,"",IF(AND(MOD(AI58,3)=0,AG58=INT(($AC$9-1)/2)),INDEX($B$5:$M$5,AI58+1),""))</f>
        <v/>
      </c>
      <c r="AL58">
        <f>IF(AH58=1,NA(),IF(INDEX($B$6:$Y$23,($AC$3-1-0)*$AC$4+AJ58+1,0*$AC$5+AI58+1)="",NA(),0+(INDEX($B$6:$Y$23,($AC$3-1-0)*$AC$4+AJ58+1,0*$AC$5+AI58+1)-$AC$17)/$AC$19*$AC$13))</f>
        <v>0.37300888888888883</v>
      </c>
      <c r="AM58">
        <f>IF(AH58=1,NA(),IF(INDEX($B$6:$Y$23,($AC$3-1-0)*$AC$4+AJ58+1,1*$AC$5+AI58+1)="",NA(),0+(INDEX($B$6:$Y$23,($AC$3-1-0)*$AC$4+AJ58+1,1*$AC$5+AI58+1)-$AC$17)/$AC$19*$AC$13))</f>
        <v>0.35223555555555558</v>
      </c>
      <c r="AN58">
        <f>IF(AH58=1,NA(),IF(INDEX($B$6:$Y$23,($AC$3-1-1)*$AC$4+AJ58+1,0*$AC$5+AI58+1)="",NA(),1+(INDEX($B$6:$Y$23,($AC$3-1-1)*$AC$4+AJ58+1,0*$AC$5+AI58+1)-$AC$17)/$AC$19*$AC$13))</f>
        <v>1.4293155555555555</v>
      </c>
      <c r="AO58">
        <f>IF(AH58=1,NA(),IF(INDEX($B$6:$Y$23,($AC$3-1-1)*$AC$4+AJ58+1,1*$AC$5+AI58+1)="",NA(),1+(INDEX($B$6:$Y$23,($AC$3-1-1)*$AC$4+AJ58+1,1*$AC$5+AI58+1)-$AC$17)/$AC$19*$AC$13))</f>
        <v>1.4069022222222223</v>
      </c>
      <c r="AP58">
        <f>IF(AH58=1,NA(),IF(INDEX($B$6:$Y$23,($AC$3-1-2)*$AC$4+AJ58+1,0*$AC$5+AI58+1)="",NA(),2+(INDEX($B$6:$Y$23,($AC$3-1-2)*$AC$4+AJ58+1,0*$AC$5+AI58+1)-$AC$17)/$AC$19*$AC$13))</f>
        <v>2.4857133333333334</v>
      </c>
      <c r="AQ58">
        <f>IF(AH58=1,NA(),IF(INDEX($B$6:$Y$23,($AC$3-1-2)*$AC$4+AJ58+1,1*$AC$5+AI58+1)="",NA(),2+(INDEX($B$6:$Y$23,($AC$3-1-2)*$AC$4+AJ58+1,1*$AC$5+AI58+1)-$AC$17)/$AC$19*$AC$13))</f>
        <v>2.4615688888888889</v>
      </c>
      <c r="AR58">
        <f>IF(AH58=1,NA(),IF(INDEX($B$6:$Y$23,($AC$3-1-3)*$AC$4+AJ58+1,0*$AC$5+AI58+1)="",NA(),3+(INDEX($B$6:$Y$23,($AC$3-1-3)*$AC$4+AJ58+1,0*$AC$5+AI58+1)-$AC$17)/$AC$19*$AC$13))</f>
        <v>3.5421111111111112</v>
      </c>
      <c r="AS58">
        <f>IF(AH58=1,NA(),IF(INDEX($B$6:$Y$23,($AC$3-1-3)*$AC$4+AJ58+1,1*$AC$5+AI58+1)="",NA(),3+(INDEX($B$6:$Y$23,($AC$3-1-3)*$AC$4+AJ58+1,1*$AC$5+AI58+1)-$AC$17)/$AC$19*$AC$13))</f>
        <v>3.5162355555555553</v>
      </c>
      <c r="AT58">
        <f>IF(AH58=1,NA(),IF(INDEX($B$6:$Y$23,($AC$3-1-4)*$AC$4+AJ58+1,0*$AC$5+AI58+1)="",NA(),4+(INDEX($B$6:$Y$23,($AC$3-1-4)*$AC$4+AJ58+1,0*$AC$5+AI58+1)-$AC$17)/$AC$19*$AC$13))</f>
        <v>4.5985088888888885</v>
      </c>
      <c r="AU58">
        <f>IF(AH58=1,NA(),IF(INDEX($B$6:$Y$23,($AC$3-1-4)*$AC$4+AJ58+1,1*$AC$5+AI58+1)="",NA(),4+(INDEX($B$6:$Y$23,($AC$3-1-4)*$AC$4+AJ58+1,1*$AC$5+AI58+1)-$AC$17)/$AC$19*$AC$13))</f>
        <v>4.570993333333333</v>
      </c>
      <c r="AV58">
        <f>IF(AH58=1,NA(),IF(INDEX($B$6:$Y$23,($AC$3-1-5)*$AC$4+AJ58+1,0*$AC$5+AI58+1)="",NA(),5+(INDEX($B$6:$Y$23,($AC$3-1-5)*$AC$4+AJ58+1,0*$AC$5+AI58+1)-$AC$17)/$AC$19*$AC$13))</f>
        <v>5.6549066666666663</v>
      </c>
      <c r="AW58">
        <f>IF(AH58=1,NA(),IF(INDEX($B$6:$Y$23,($AC$3-1-5)*$AC$4+AJ58+1,1*$AC$5+AI58+1)="",NA(),5+(INDEX($B$6:$Y$23,($AC$3-1-5)*$AC$4+AJ58+1,1*$AC$5+AI58+1)-$AC$17)/$AC$19*$AC$13))</f>
        <v>5.6256599999999999</v>
      </c>
      <c r="AY58" t="str">
        <f>IF(AH58=1,"",IF(INDEX($B$6:$Y$23,($AC$3-1-0)*$AC$4+AJ58+1,0*$AC$5+AI58+1)="","",TEXT(INDEX($B$6:$Y$23,($AC$3-1-0)*$AC$4+AJ58+1,0*$AC$5+AI58+1),"#,##0")))</f>
        <v>759</v>
      </c>
      <c r="AZ58" t="str">
        <f>IF(AH58=1,"",IF(INDEX($B$6:$Y$23,($AC$3-1-0)*$AC$4+AJ58+1,1*$AC$5+AI58+1)="","",TEXT(INDEX($B$6:$Y$23,($AC$3-1-0)*$AC$4+AJ58+1,1*$AC$5+AI58+1),"#,##0")))</f>
        <v>737</v>
      </c>
      <c r="BA58" t="str">
        <f>IF(AH58=1,"",IF(INDEX($B$6:$Y$23,($AC$3-1-1)*$AC$4+AJ58+1,0*$AC$5+AI58+1)="","",TEXT(INDEX($B$6:$Y$23,($AC$3-1-1)*$AC$4+AJ58+1,0*$AC$5+AI58+1),"#,##0")))</f>
        <v>821</v>
      </c>
      <c r="BB58" t="str">
        <f>IF(AH58=1,"",IF(INDEX($B$6:$Y$23,($AC$3-1-1)*$AC$4+AJ58+1,1*$AC$5+AI58+1)="","",TEXT(INDEX($B$6:$Y$23,($AC$3-1-1)*$AC$4+AJ58+1,1*$AC$5+AI58+1),"#,##0")))</f>
        <v>797</v>
      </c>
      <c r="BC58" t="str">
        <f>IF(AH58=1,"",IF(INDEX($B$6:$Y$23,($AC$3-1-2)*$AC$4+AJ58+1,0*$AC$5+AI58+1)="","",TEXT(INDEX($B$6:$Y$23,($AC$3-1-2)*$AC$4+AJ58+1,0*$AC$5+AI58+1),"#,##0")))</f>
        <v>883</v>
      </c>
      <c r="BD58" t="str">
        <f>IF(AH58=1,"",IF(INDEX($B$6:$Y$23,($AC$3-1-2)*$AC$4+AJ58+1,1*$AC$5+AI58+1)="","",TEXT(INDEX($B$6:$Y$23,($AC$3-1-2)*$AC$4+AJ58+1,1*$AC$5+AI58+1),"#,##0")))</f>
        <v>857</v>
      </c>
      <c r="BE58" t="str">
        <f>IF(AH58=1,"",IF(INDEX($B$6:$Y$23,($AC$3-1-3)*$AC$4+AJ58+1,0*$AC$5+AI58+1)="","",TEXT(INDEX($B$6:$Y$23,($AC$3-1-3)*$AC$4+AJ58+1,0*$AC$5+AI58+1),"#,##0")))</f>
        <v>945</v>
      </c>
      <c r="BF58" t="str">
        <f>IF(AH58=1,"",IF(INDEX($B$6:$Y$23,($AC$3-1-3)*$AC$4+AJ58+1,1*$AC$5+AI58+1)="","",TEXT(INDEX($B$6:$Y$23,($AC$3-1-3)*$AC$4+AJ58+1,1*$AC$5+AI58+1),"#,##0")))</f>
        <v>917</v>
      </c>
      <c r="BG58" t="str">
        <f>IF(AH58=1,"",IF(INDEX($B$6:$Y$23,($AC$3-1-4)*$AC$4+AJ58+1,0*$AC$5+AI58+1)="","",TEXT(INDEX($B$6:$Y$23,($AC$3-1-4)*$AC$4+AJ58+1,0*$AC$5+AI58+1),"#,##0")))</f>
        <v>1,007</v>
      </c>
      <c r="BH58" t="str">
        <f>IF(AH58=1,"",IF(INDEX($B$6:$Y$23,($AC$3-1-4)*$AC$4+AJ58+1,1*$AC$5+AI58+1)="","",TEXT(INDEX($B$6:$Y$23,($AC$3-1-4)*$AC$4+AJ58+1,1*$AC$5+AI58+1),"#,##0")))</f>
        <v>977</v>
      </c>
      <c r="BI58" t="str">
        <f>IF(AH58=1,"",IF(INDEX($B$6:$Y$23,($AC$3-1-5)*$AC$4+AJ58+1,0*$AC$5+AI58+1)="","",TEXT(INDEX($B$6:$Y$23,($AC$3-1-5)*$AC$4+AJ58+1,0*$AC$5+AI58+1),"#,##0")))</f>
        <v>1,069</v>
      </c>
      <c r="BJ58" t="str">
        <f>IF(AH58=1,"",IF(INDEX($B$6:$Y$23,($AC$3-1-5)*$AC$4+AJ58+1,1*$AC$5+AI58+1)="","",TEXT(INDEX($B$6:$Y$23,($AC$3-1-5)*$AC$4+AJ58+1,1*$AC$5+AI58+1),"#,##0")))</f>
        <v>1,037</v>
      </c>
      <c r="BR58">
        <v>41.5</v>
      </c>
      <c r="BS58" t="e">
        <f>IF(OR($AC$17&gt;0,$AC$18&lt;0),NA(),3+$AC$20)</f>
        <v>#N/A</v>
      </c>
    </row>
    <row r="59" spans="28:71" x14ac:dyDescent="0.35">
      <c r="AB59">
        <v>36</v>
      </c>
      <c r="AC59">
        <f>AB59-$AC$12</f>
        <v>33</v>
      </c>
      <c r="AD59">
        <f>IF(AC59&lt;=0,-1,INT((AC59-1)/($AC$10+$AC$11)))</f>
        <v>2</v>
      </c>
      <c r="AE59">
        <f>IF(AC59&lt;=0,-1,MOD(AC59-1,($AC$10+$AC$11)))</f>
        <v>6</v>
      </c>
      <c r="AF59">
        <f>IF(OR(AE59&lt;0,AE59&gt;=$AC$10),-1,INT(AE59/$AC$9))</f>
        <v>6</v>
      </c>
      <c r="AG59">
        <f>IF(OR(AE59&lt;0,AE59&gt;=$AC$10),-1,MOD(AE59,$AC$9))</f>
        <v>0</v>
      </c>
      <c r="AH59">
        <f>IF(OR(AC59&lt;=0,AE59&lt;0,AE59&gt;=$AC$10,AD59&gt;=$AC$7),1,0)</f>
        <v>0</v>
      </c>
      <c r="AI59">
        <f>IF(AH59=1,-1,AF59)</f>
        <v>6</v>
      </c>
      <c r="AJ59">
        <f>IF(AH59=1,-1,AD59)</f>
        <v>2</v>
      </c>
      <c r="AK59" t="str">
        <f>IF(AH59=1,"",IF(AND(MOD(AI59,3)=0,AG59=INT(($AC$9-1)/2)),INDEX($B$5:$M$5,AI59+1),""))</f>
        <v>Jul</v>
      </c>
      <c r="AL59">
        <f>IF(AH59=1,NA(),IF(INDEX($B$6:$Y$23,($AC$3-1-0)*$AC$4+AJ59+1,0*$AC$5+AI59+1)="",NA(),0+(INDEX($B$6:$Y$23,($AC$3-1-0)*$AC$4+AJ59+1,0*$AC$5+AI59+1)-$AC$17)/$AC$19*$AC$13))</f>
        <v>0.44298222222222222</v>
      </c>
      <c r="AM59">
        <f>IF(AH59=1,NA(),IF(INDEX($B$6:$Y$23,($AC$3-1-0)*$AC$4+AJ59+1,1*$AC$5+AI59+1)="",NA(),0+(INDEX($B$6:$Y$23,($AC$3-1-0)*$AC$4+AJ59+1,1*$AC$5+AI59+1)-$AC$17)/$AC$19*$AC$13))</f>
        <v>0.39451111111111109</v>
      </c>
      <c r="AN59">
        <f>IF(AH59=1,NA(),IF(INDEX($B$6:$Y$23,($AC$3-1-1)*$AC$4+AJ59+1,0*$AC$5+AI59+1)="",NA(),1+(INDEX($B$6:$Y$23,($AC$3-1-1)*$AC$4+AJ59+1,0*$AC$5+AI59+1)-$AC$17)/$AC$19*$AC$13))</f>
        <v>1.5006555555555554</v>
      </c>
      <c r="AO59">
        <f>IF(AH59=1,NA(),IF(INDEX($B$6:$Y$23,($AC$3-1-1)*$AC$4+AJ59+1,1*$AC$5+AI59+1)="",NA(),1+(INDEX($B$6:$Y$23,($AC$3-1-1)*$AC$4+AJ59+1,1*$AC$5+AI59+1)-$AC$17)/$AC$19*$AC$13))</f>
        <v>1.4503622222222221</v>
      </c>
      <c r="AP59">
        <f>IF(AH59=1,NA(),IF(INDEX($B$6:$Y$23,($AC$3-1-2)*$AC$4+AJ59+1,0*$AC$5+AI59+1)="",NA(),2+(INDEX($B$6:$Y$23,($AC$3-1-2)*$AC$4+AJ59+1,0*$AC$5+AI59+1)-$AC$17)/$AC$19*$AC$13))</f>
        <v>2.5582377777777778</v>
      </c>
      <c r="AQ59">
        <f>IF(AH59=1,NA(),IF(INDEX($B$6:$Y$23,($AC$3-1-2)*$AC$4+AJ59+1,1*$AC$5+AI59+1)="",NA(),2+(INDEX($B$6:$Y$23,($AC$3-1-2)*$AC$4+AJ59+1,1*$AC$5+AI59+1)-$AC$17)/$AC$19*$AC$13))</f>
        <v>2.5063044444444444</v>
      </c>
      <c r="AR59">
        <f>IF(AH59=1,NA(),IF(INDEX($B$6:$Y$23,($AC$3-1-3)*$AC$4+AJ59+1,0*$AC$5+AI59+1)="",NA(),3+(INDEX($B$6:$Y$23,($AC$3-1-3)*$AC$4+AJ59+1,0*$AC$5+AI59+1)-$AC$17)/$AC$19*$AC$13))</f>
        <v>3.6159111111111111</v>
      </c>
      <c r="AS59">
        <f>IF(AH59=1,NA(),IF(INDEX($B$6:$Y$23,($AC$3-1-3)*$AC$4+AJ59+1,1*$AC$5+AI59+1)="",NA(),3+(INDEX($B$6:$Y$23,($AC$3-1-3)*$AC$4+AJ59+1,1*$AC$5+AI59+1)-$AC$17)/$AC$19*$AC$13))</f>
        <v>3.5621555555555555</v>
      </c>
      <c r="AT59">
        <f>IF(AH59=1,NA(),IF(INDEX($B$6:$Y$23,($AC$3-1-4)*$AC$4+AJ59+1,0*$AC$5+AI59+1)="",NA(),4+(INDEX($B$6:$Y$23,($AC$3-1-4)*$AC$4+AJ59+1,0*$AC$5+AI59+1)-$AC$17)/$AC$19*$AC$13))</f>
        <v>4.6734933333333331</v>
      </c>
      <c r="AU59">
        <f>IF(AH59=1,NA(),IF(INDEX($B$6:$Y$23,($AC$3-1-4)*$AC$4+AJ59+1,1*$AC$5+AI59+1)="",NA(),4+(INDEX($B$6:$Y$23,($AC$3-1-4)*$AC$4+AJ59+1,1*$AC$5+AI59+1)-$AC$17)/$AC$19*$AC$13))</f>
        <v>4.6180977777777779</v>
      </c>
      <c r="AV59">
        <f>IF(AH59=1,NA(),IF(INDEX($B$6:$Y$23,($AC$3-1-5)*$AC$4+AJ59+1,0*$AC$5+AI59+1)="",NA(),5+(INDEX($B$6:$Y$23,($AC$3-1-5)*$AC$4+AJ59+1,0*$AC$5+AI59+1)-$AC$17)/$AC$19*$AC$13))</f>
        <v>5.7311666666666667</v>
      </c>
      <c r="AW59">
        <f>IF(AH59=1,NA(),IF(INDEX($B$6:$Y$23,($AC$3-1-5)*$AC$4+AJ59+1,1*$AC$5+AI59+1)="",NA(),5+(INDEX($B$6:$Y$23,($AC$3-1-5)*$AC$4+AJ59+1,1*$AC$5+AI59+1)-$AC$17)/$AC$19*$AC$13))</f>
        <v>5.6739488888888889</v>
      </c>
      <c r="AY59" t="str">
        <f>IF(AH59=1,"",IF(INDEX($B$6:$Y$23,($AC$3-1-0)*$AC$4+AJ59+1,0*$AC$5+AI59+1)="","",TEXT(INDEX($B$6:$Y$23,($AC$3-1-0)*$AC$4+AJ59+1,0*$AC$5+AI59+1),"#,##0")))</f>
        <v>836</v>
      </c>
      <c r="AZ59" t="str">
        <f>IF(AH59=1,"",IF(INDEX($B$6:$Y$23,($AC$3-1-0)*$AC$4+AJ59+1,1*$AC$5+AI59+1)="","",TEXT(INDEX($B$6:$Y$23,($AC$3-1-0)*$AC$4+AJ59+1,1*$AC$5+AI59+1),"#,##0")))</f>
        <v>783</v>
      </c>
      <c r="BA59" t="str">
        <f>IF(AH59=1,"",IF(INDEX($B$6:$Y$23,($AC$3-1-1)*$AC$4+AJ59+1,0*$AC$5+AI59+1)="","",TEXT(INDEX($B$6:$Y$23,($AC$3-1-1)*$AC$4+AJ59+1,0*$AC$5+AI59+1),"#,##0")))</f>
        <v>900</v>
      </c>
      <c r="BB59" t="str">
        <f>IF(AH59=1,"",IF(INDEX($B$6:$Y$23,($AC$3-1-1)*$AC$4+AJ59+1,1*$AC$5+AI59+1)="","",TEXT(INDEX($B$6:$Y$23,($AC$3-1-1)*$AC$4+AJ59+1,1*$AC$5+AI59+1),"#,##0")))</f>
        <v>844</v>
      </c>
      <c r="BC59" t="str">
        <f>IF(AH59=1,"",IF(INDEX($B$6:$Y$23,($AC$3-1-2)*$AC$4+AJ59+1,0*$AC$5+AI59+1)="","",TEXT(INDEX($B$6:$Y$23,($AC$3-1-2)*$AC$4+AJ59+1,0*$AC$5+AI59+1),"#,##0")))</f>
        <v>963</v>
      </c>
      <c r="BD59" t="str">
        <f>IF(AH59=1,"",IF(INDEX($B$6:$Y$23,($AC$3-1-2)*$AC$4+AJ59+1,1*$AC$5+AI59+1)="","",TEXT(INDEX($B$6:$Y$23,($AC$3-1-2)*$AC$4+AJ59+1,1*$AC$5+AI59+1),"#,##0")))</f>
        <v>906</v>
      </c>
      <c r="BE59" t="str">
        <f>IF(AH59=1,"",IF(INDEX($B$6:$Y$23,($AC$3-1-3)*$AC$4+AJ59+1,0*$AC$5+AI59+1)="","",TEXT(INDEX($B$6:$Y$23,($AC$3-1-3)*$AC$4+AJ59+1,0*$AC$5+AI59+1),"#,##0")))</f>
        <v>1,026</v>
      </c>
      <c r="BF59" t="str">
        <f>IF(AH59=1,"",IF(INDEX($B$6:$Y$23,($AC$3-1-3)*$AC$4+AJ59+1,1*$AC$5+AI59+1)="","",TEXT(INDEX($B$6:$Y$23,($AC$3-1-3)*$AC$4+AJ59+1,1*$AC$5+AI59+1),"#,##0")))</f>
        <v>967</v>
      </c>
      <c r="BG59" t="str">
        <f>IF(AH59=1,"",IF(INDEX($B$6:$Y$23,($AC$3-1-4)*$AC$4+AJ59+1,0*$AC$5+AI59+1)="","",TEXT(INDEX($B$6:$Y$23,($AC$3-1-4)*$AC$4+AJ59+1,0*$AC$5+AI59+1),"#,##0")))</f>
        <v>1,089</v>
      </c>
      <c r="BH59" t="str">
        <f>IF(AH59=1,"",IF(INDEX($B$6:$Y$23,($AC$3-1-4)*$AC$4+AJ59+1,1*$AC$5+AI59+1)="","",TEXT(INDEX($B$6:$Y$23,($AC$3-1-4)*$AC$4+AJ59+1,1*$AC$5+AI59+1),"#,##0")))</f>
        <v>1,028</v>
      </c>
      <c r="BI59" t="str">
        <f>IF(AH59=1,"",IF(INDEX($B$6:$Y$23,($AC$3-1-5)*$AC$4+AJ59+1,0*$AC$5+AI59+1)="","",TEXT(INDEX($B$6:$Y$23,($AC$3-1-5)*$AC$4+AJ59+1,0*$AC$5+AI59+1),"#,##0")))</f>
        <v>1,153</v>
      </c>
      <c r="BJ59" t="str">
        <f>IF(AH59=1,"",IF(INDEX($B$6:$Y$23,($AC$3-1-5)*$AC$4+AJ59+1,1*$AC$5+AI59+1)="","",TEXT(INDEX($B$6:$Y$23,($AC$3-1-5)*$AC$4+AJ59+1,1*$AC$5+AI59+1),"#,##0")))</f>
        <v>1,090</v>
      </c>
      <c r="BR59">
        <v>41.5</v>
      </c>
      <c r="BS59" t="e">
        <f>NA()</f>
        <v>#N/A</v>
      </c>
    </row>
    <row r="60" spans="28:71" x14ac:dyDescent="0.35">
      <c r="AB60">
        <v>37</v>
      </c>
      <c r="AC60">
        <f>AB60-$AC$12</f>
        <v>34</v>
      </c>
      <c r="AD60">
        <f>IF(AC60&lt;=0,-1,INT((AC60-1)/($AC$10+$AC$11)))</f>
        <v>2</v>
      </c>
      <c r="AE60">
        <f>IF(AC60&lt;=0,-1,MOD(AC60-1,($AC$10+$AC$11)))</f>
        <v>7</v>
      </c>
      <c r="AF60">
        <f>IF(OR(AE60&lt;0,AE60&gt;=$AC$10),-1,INT(AE60/$AC$9))</f>
        <v>7</v>
      </c>
      <c r="AG60">
        <f>IF(OR(AE60&lt;0,AE60&gt;=$AC$10),-1,MOD(AE60,$AC$9))</f>
        <v>0</v>
      </c>
      <c r="AH60">
        <f>IF(OR(AC60&lt;=0,AE60&lt;0,AE60&gt;=$AC$10,AD60&gt;=$AC$7),1,0)</f>
        <v>0</v>
      </c>
      <c r="AI60">
        <f>IF(AH60=1,-1,AF60)</f>
        <v>7</v>
      </c>
      <c r="AJ60">
        <f>IF(AH60=1,-1,AD60)</f>
        <v>2</v>
      </c>
      <c r="AK60" t="str">
        <f>IF(AH60=1,"",IF(AND(MOD(AI60,3)=0,AG60=INT(($AC$9-1)/2)),INDEX($B$5:$M$5,AI60+1),""))</f>
        <v/>
      </c>
      <c r="AL60">
        <f>IF(AH60=1,NA(),IF(INDEX($B$6:$Y$23,($AC$3-1-0)*$AC$4+AJ60+1,0*$AC$5+AI60+1)="",NA(),0+(INDEX($B$6:$Y$23,($AC$3-1-0)*$AC$4+AJ60+1,0*$AC$5+AI60+1)-$AC$17)/$AC$19*$AC$13))</f>
        <v>0.34904666666666667</v>
      </c>
      <c r="AM60">
        <f>IF(AH60=1,NA(),IF(INDEX($B$6:$Y$23,($AC$3-1-0)*$AC$4+AJ60+1,1*$AC$5+AI60+1)="",NA(),0+(INDEX($B$6:$Y$23,($AC$3-1-0)*$AC$4+AJ60+1,1*$AC$5+AI60+1)-$AC$17)/$AC$19*$AC$13))</f>
        <v>0.35469555555555549</v>
      </c>
      <c r="AN60">
        <f>IF(AH60=1,NA(),IF(INDEX($B$6:$Y$23,($AC$3-1-1)*$AC$4+AJ60+1,0*$AC$5+AI60+1)="",NA(),1+(INDEX($B$6:$Y$23,($AC$3-1-1)*$AC$4+AJ60+1,0*$AC$5+AI60+1)-$AC$17)/$AC$19*$AC$13))</f>
        <v>1.4079955555555554</v>
      </c>
      <c r="AO60">
        <f>IF(AH60=1,NA(),IF(INDEX($B$6:$Y$23,($AC$3-1-1)*$AC$4+AJ60+1,1*$AC$5+AI60+1)="",NA(),1+(INDEX($B$6:$Y$23,($AC$3-1-1)*$AC$4+AJ60+1,1*$AC$5+AI60+1)-$AC$17)/$AC$19*$AC$13))</f>
        <v>1.4118222222222223</v>
      </c>
      <c r="AP60">
        <f>IF(AH60=1,NA(),IF(INDEX($B$6:$Y$23,($AC$3-1-2)*$AC$4+AJ60+1,0*$AC$5+AI60+1)="",NA(),2+(INDEX($B$6:$Y$23,($AC$3-1-2)*$AC$4+AJ60+1,0*$AC$5+AI60+1)-$AC$17)/$AC$19*$AC$13))</f>
        <v>2.4668533333333333</v>
      </c>
      <c r="AQ60">
        <f>IF(AH60=1,NA(),IF(INDEX($B$6:$Y$23,($AC$3-1-2)*$AC$4+AJ60+1,1*$AC$5+AI60+1)="",NA(),2+(INDEX($B$6:$Y$23,($AC$3-1-2)*$AC$4+AJ60+1,1*$AC$5+AI60+1)-$AC$17)/$AC$19*$AC$13))</f>
        <v>2.4689488888888889</v>
      </c>
      <c r="AR60">
        <f>IF(AH60=1,NA(),IF(INDEX($B$6:$Y$23,($AC$3-1-3)*$AC$4+AJ60+1,0*$AC$5+AI60+1)="",NA(),3+(INDEX($B$6:$Y$23,($AC$3-1-3)*$AC$4+AJ60+1,0*$AC$5+AI60+1)-$AC$17)/$AC$19*$AC$13))</f>
        <v>3.5257111111111108</v>
      </c>
      <c r="AS60">
        <f>IF(AH60=1,NA(),IF(INDEX($B$6:$Y$23,($AC$3-1-3)*$AC$4+AJ60+1,1*$AC$5+AI60+1)="",NA(),3+(INDEX($B$6:$Y$23,($AC$3-1-3)*$AC$4+AJ60+1,1*$AC$5+AI60+1)-$AC$17)/$AC$19*$AC$13))</f>
        <v>3.5260755555555554</v>
      </c>
      <c r="AT60">
        <f>IF(AH60=1,NA(),IF(INDEX($B$6:$Y$23,($AC$3-1-4)*$AC$4+AJ60+1,0*$AC$5+AI60+1)="",NA(),4+(INDEX($B$6:$Y$23,($AC$3-1-4)*$AC$4+AJ60+1,0*$AC$5+AI60+1)-$AC$17)/$AC$19*$AC$13))</f>
        <v>4.5845688888888887</v>
      </c>
      <c r="AU60">
        <f>IF(AH60=1,NA(),IF(INDEX($B$6:$Y$23,($AC$3-1-4)*$AC$4+AJ60+1,1*$AC$5+AI60+1)="",NA(),4+(INDEX($B$6:$Y$23,($AC$3-1-4)*$AC$4+AJ60+1,1*$AC$5+AI60+1)-$AC$17)/$AC$19*$AC$13))</f>
        <v>4.583202222222222</v>
      </c>
      <c r="AV60">
        <f>IF(AH60=1,NA(),IF(INDEX($B$6:$Y$23,($AC$3-1-5)*$AC$4+AJ60+1,0*$AC$5+AI60+1)="",NA(),5+(INDEX($B$6:$Y$23,($AC$3-1-5)*$AC$4+AJ60+1,0*$AC$5+AI60+1)-$AC$17)/$AC$19*$AC$13))</f>
        <v>5.6434266666666666</v>
      </c>
      <c r="AW60">
        <f>IF(AH60=1,NA(),IF(INDEX($B$6:$Y$23,($AC$3-1-5)*$AC$4+AJ60+1,1*$AC$5+AI60+1)="",NA(),5+(INDEX($B$6:$Y$23,($AC$3-1-5)*$AC$4+AJ60+1,1*$AC$5+AI60+1)-$AC$17)/$AC$19*$AC$13))</f>
        <v>5.6403288888888889</v>
      </c>
      <c r="AY60" t="str">
        <f>IF(AH60=1,"",IF(INDEX($B$6:$Y$23,($AC$3-1-0)*$AC$4+AJ60+1,0*$AC$5+AI60+1)="","",TEXT(INDEX($B$6:$Y$23,($AC$3-1-0)*$AC$4+AJ60+1,0*$AC$5+AI60+1),"#,##0")))</f>
        <v>733</v>
      </c>
      <c r="AZ60" t="str">
        <f>IF(AH60=1,"",IF(INDEX($B$6:$Y$23,($AC$3-1-0)*$AC$4+AJ60+1,1*$AC$5+AI60+1)="","",TEXT(INDEX($B$6:$Y$23,($AC$3-1-0)*$AC$4+AJ60+1,1*$AC$5+AI60+1),"#,##0")))</f>
        <v>739</v>
      </c>
      <c r="BA60" t="str">
        <f>IF(AH60=1,"",IF(INDEX($B$6:$Y$23,($AC$3-1-1)*$AC$4+AJ60+1,0*$AC$5+AI60+1)="","",TEXT(INDEX($B$6:$Y$23,($AC$3-1-1)*$AC$4+AJ60+1,0*$AC$5+AI60+1),"#,##0")))</f>
        <v>798</v>
      </c>
      <c r="BB60" t="str">
        <f>IF(AH60=1,"",IF(INDEX($B$6:$Y$23,($AC$3-1-1)*$AC$4+AJ60+1,1*$AC$5+AI60+1)="","",TEXT(INDEX($B$6:$Y$23,($AC$3-1-1)*$AC$4+AJ60+1,1*$AC$5+AI60+1),"#,##0")))</f>
        <v>802</v>
      </c>
      <c r="BC60" t="str">
        <f>IF(AH60=1,"",IF(INDEX($B$6:$Y$23,($AC$3-1-2)*$AC$4+AJ60+1,0*$AC$5+AI60+1)="","",TEXT(INDEX($B$6:$Y$23,($AC$3-1-2)*$AC$4+AJ60+1,0*$AC$5+AI60+1),"#,##0")))</f>
        <v>862</v>
      </c>
      <c r="BD60" t="str">
        <f>IF(AH60=1,"",IF(INDEX($B$6:$Y$23,($AC$3-1-2)*$AC$4+AJ60+1,1*$AC$5+AI60+1)="","",TEXT(INDEX($B$6:$Y$23,($AC$3-1-2)*$AC$4+AJ60+1,1*$AC$5+AI60+1),"#,##0")))</f>
        <v>865</v>
      </c>
      <c r="BE60" t="str">
        <f>IF(AH60=1,"",IF(INDEX($B$6:$Y$23,($AC$3-1-3)*$AC$4+AJ60+1,0*$AC$5+AI60+1)="","",TEXT(INDEX($B$6:$Y$23,($AC$3-1-3)*$AC$4+AJ60+1,0*$AC$5+AI60+1),"#,##0")))</f>
        <v>927</v>
      </c>
      <c r="BF60" t="str">
        <f>IF(AH60=1,"",IF(INDEX($B$6:$Y$23,($AC$3-1-3)*$AC$4+AJ60+1,1*$AC$5+AI60+1)="","",TEXT(INDEX($B$6:$Y$23,($AC$3-1-3)*$AC$4+AJ60+1,1*$AC$5+AI60+1),"#,##0")))</f>
        <v>927</v>
      </c>
      <c r="BG60" t="str">
        <f>IF(AH60=1,"",IF(INDEX($B$6:$Y$23,($AC$3-1-4)*$AC$4+AJ60+1,0*$AC$5+AI60+1)="","",TEXT(INDEX($B$6:$Y$23,($AC$3-1-4)*$AC$4+AJ60+1,0*$AC$5+AI60+1),"#,##0")))</f>
        <v>992</v>
      </c>
      <c r="BH60" t="str">
        <f>IF(AH60=1,"",IF(INDEX($B$6:$Y$23,($AC$3-1-4)*$AC$4+AJ60+1,1*$AC$5+AI60+1)="","",TEXT(INDEX($B$6:$Y$23,($AC$3-1-4)*$AC$4+AJ60+1,1*$AC$5+AI60+1),"#,##0")))</f>
        <v>990</v>
      </c>
      <c r="BI60" t="str">
        <f>IF(AH60=1,"",IF(INDEX($B$6:$Y$23,($AC$3-1-5)*$AC$4+AJ60+1,0*$AC$5+AI60+1)="","",TEXT(INDEX($B$6:$Y$23,($AC$3-1-5)*$AC$4+AJ60+1,0*$AC$5+AI60+1),"#,##0")))</f>
        <v>1,056</v>
      </c>
      <c r="BJ60" t="str">
        <f>IF(AH60=1,"",IF(INDEX($B$6:$Y$23,($AC$3-1-5)*$AC$4+AJ60+1,1*$AC$5+AI60+1)="","",TEXT(INDEX($B$6:$Y$23,($AC$3-1-5)*$AC$4+AJ60+1,1*$AC$5+AI60+1),"#,##0")))</f>
        <v>1,053</v>
      </c>
      <c r="BR60">
        <v>3.5</v>
      </c>
      <c r="BS60" t="e">
        <f>IF(OR($AC$17&gt;0,$AC$18&lt;0),NA(),4+$AC$20)</f>
        <v>#N/A</v>
      </c>
    </row>
    <row r="61" spans="28:71" x14ac:dyDescent="0.35">
      <c r="AB61">
        <v>38</v>
      </c>
      <c r="AC61">
        <f>AB61-$AC$12</f>
        <v>35</v>
      </c>
      <c r="AD61">
        <f>IF(AC61&lt;=0,-1,INT((AC61-1)/($AC$10+$AC$11)))</f>
        <v>2</v>
      </c>
      <c r="AE61">
        <f>IF(AC61&lt;=0,-1,MOD(AC61-1,($AC$10+$AC$11)))</f>
        <v>8</v>
      </c>
      <c r="AF61">
        <f>IF(OR(AE61&lt;0,AE61&gt;=$AC$10),-1,INT(AE61/$AC$9))</f>
        <v>8</v>
      </c>
      <c r="AG61">
        <f>IF(OR(AE61&lt;0,AE61&gt;=$AC$10),-1,MOD(AE61,$AC$9))</f>
        <v>0</v>
      </c>
      <c r="AH61">
        <f>IF(OR(AC61&lt;=0,AE61&lt;0,AE61&gt;=$AC$10,AD61&gt;=$AC$7),1,0)</f>
        <v>0</v>
      </c>
      <c r="AI61">
        <f>IF(AH61=1,-1,AF61)</f>
        <v>8</v>
      </c>
      <c r="AJ61">
        <f>IF(AH61=1,-1,AD61)</f>
        <v>2</v>
      </c>
      <c r="AK61" t="str">
        <f>IF(AH61=1,"",IF(AND(MOD(AI61,3)=0,AG61=INT(($AC$9-1)/2)),INDEX($B$5:$M$5,AI61+1),""))</f>
        <v/>
      </c>
      <c r="AL61">
        <f>IF(AH61=1,NA(),IF(INDEX($B$6:$Y$23,($AC$3-1-0)*$AC$4+AJ61+1,0*$AC$5+AI61+1)="",NA(),0+(INDEX($B$6:$Y$23,($AC$3-1-0)*$AC$4+AJ61+1,0*$AC$5+AI61+1)-$AC$17)/$AC$19*$AC$13))</f>
        <v>0.41911111111111105</v>
      </c>
      <c r="AM61">
        <f>IF(AH61=1,NA(),IF(INDEX($B$6:$Y$23,($AC$3-1-0)*$AC$4+AJ61+1,1*$AC$5+AI61+1)="",NA(),0+(INDEX($B$6:$Y$23,($AC$3-1-0)*$AC$4+AJ61+1,1*$AC$5+AI61+1)-$AC$17)/$AC$19*$AC$13))</f>
        <v>0.39697111111111111</v>
      </c>
      <c r="AN61">
        <f>IF(AH61=1,NA(),IF(INDEX($B$6:$Y$23,($AC$3-1-1)*$AC$4+AJ61+1,0*$AC$5+AI61+1)="",NA(),1+(INDEX($B$6:$Y$23,($AC$3-1-1)*$AC$4+AJ61+1,0*$AC$5+AI61+1)-$AC$17)/$AC$19*$AC$13))</f>
        <v>1.4792444444444444</v>
      </c>
      <c r="AO61">
        <f>IF(AH61=1,NA(),IF(INDEX($B$6:$Y$23,($AC$3-1-1)*$AC$4+AJ61+1,1*$AC$5+AI61+1)="",NA(),1+(INDEX($B$6:$Y$23,($AC$3-1-1)*$AC$4+AJ61+1,1*$AC$5+AI61+1)-$AC$17)/$AC$19*$AC$13))</f>
        <v>1.4552822222222224</v>
      </c>
      <c r="AP61">
        <f>IF(AH61=1,NA(),IF(INDEX($B$6:$Y$23,($AC$3-1-2)*$AC$4+AJ61+1,0*$AC$5+AI61+1)="",NA(),2+(INDEX($B$6:$Y$23,($AC$3-1-2)*$AC$4+AJ61+1,0*$AC$5+AI61+1)-$AC$17)/$AC$19*$AC$13))</f>
        <v>2.5393777777777777</v>
      </c>
      <c r="AQ61">
        <f>IF(AH61=1,NA(),IF(INDEX($B$6:$Y$23,($AC$3-1-2)*$AC$4+AJ61+1,1*$AC$5+AI61+1)="",NA(),2+(INDEX($B$6:$Y$23,($AC$3-1-2)*$AC$4+AJ61+1,1*$AC$5+AI61+1)-$AC$17)/$AC$19*$AC$13))</f>
        <v>2.5135933333333336</v>
      </c>
      <c r="AR61">
        <f>IF(AH61=1,NA(),IF(INDEX($B$6:$Y$23,($AC$3-1-3)*$AC$4+AJ61+1,0*$AC$5+AI61+1)="",NA(),3+(INDEX($B$6:$Y$23,($AC$3-1-3)*$AC$4+AJ61+1,0*$AC$5+AI61+1)-$AC$17)/$AC$19*$AC$13))</f>
        <v>3.5995111111111111</v>
      </c>
      <c r="AS61">
        <f>IF(AH61=1,NA(),IF(INDEX($B$6:$Y$23,($AC$3-1-3)*$AC$4+AJ61+1,1*$AC$5+AI61+1)="",NA(),3+(INDEX($B$6:$Y$23,($AC$3-1-3)*$AC$4+AJ61+1,1*$AC$5+AI61+1)-$AC$17)/$AC$19*$AC$13))</f>
        <v>3.5719955555555556</v>
      </c>
      <c r="AT61">
        <f>IF(AH61=1,NA(),IF(INDEX($B$6:$Y$23,($AC$3-1-4)*$AC$4+AJ61+1,0*$AC$5+AI61+1)="",NA(),4+(INDEX($B$6:$Y$23,($AC$3-1-4)*$AC$4+AJ61+1,0*$AC$5+AI61+1)-$AC$17)/$AC$19*$AC$13))</f>
        <v>4.659644444444444</v>
      </c>
      <c r="AU61">
        <f>IF(AH61=1,NA(),IF(INDEX($B$6:$Y$23,($AC$3-1-4)*$AC$4+AJ61+1,1*$AC$5+AI61+1)="",NA(),4+(INDEX($B$6:$Y$23,($AC$3-1-4)*$AC$4+AJ61+1,1*$AC$5+AI61+1)-$AC$17)/$AC$19*$AC$13))</f>
        <v>4.6303066666666668</v>
      </c>
      <c r="AV61">
        <f>IF(AH61=1,NA(),IF(INDEX($B$6:$Y$23,($AC$3-1-5)*$AC$4+AJ61+1,0*$AC$5+AI61+1)="",NA(),5+(INDEX($B$6:$Y$23,($AC$3-1-5)*$AC$4+AJ61+1,0*$AC$5+AI61+1)-$AC$17)/$AC$19*$AC$13))</f>
        <v>5.7197777777777778</v>
      </c>
      <c r="AW61">
        <f>IF(AH61=1,NA(),IF(INDEX($B$6:$Y$23,($AC$3-1-5)*$AC$4+AJ61+1,1*$AC$5+AI61+1)="",NA(),5+(INDEX($B$6:$Y$23,($AC$3-1-5)*$AC$4+AJ61+1,1*$AC$5+AI61+1)-$AC$17)/$AC$19*$AC$13))</f>
        <v>5.688617777777778</v>
      </c>
      <c r="AY61" t="str">
        <f>IF(AH61=1,"",IF(INDEX($B$6:$Y$23,($AC$3-1-0)*$AC$4+AJ61+1,0*$AC$5+AI61+1)="","",TEXT(INDEX($B$6:$Y$23,($AC$3-1-0)*$AC$4+AJ61+1,0*$AC$5+AI61+1),"#,##0")))</f>
        <v>810</v>
      </c>
      <c r="AZ61" t="str">
        <f>IF(AH61=1,"",IF(INDEX($B$6:$Y$23,($AC$3-1-0)*$AC$4+AJ61+1,1*$AC$5+AI61+1)="","",TEXT(INDEX($B$6:$Y$23,($AC$3-1-0)*$AC$4+AJ61+1,1*$AC$5+AI61+1),"#,##0")))</f>
        <v>786</v>
      </c>
      <c r="BA61" t="str">
        <f>IF(AH61=1,"",IF(INDEX($B$6:$Y$23,($AC$3-1-1)*$AC$4+AJ61+1,0*$AC$5+AI61+1)="","",TEXT(INDEX($B$6:$Y$23,($AC$3-1-1)*$AC$4+AJ61+1,0*$AC$5+AI61+1),"#,##0")))</f>
        <v>876</v>
      </c>
      <c r="BB61" t="str">
        <f>IF(AH61=1,"",IF(INDEX($B$6:$Y$23,($AC$3-1-1)*$AC$4+AJ61+1,1*$AC$5+AI61+1)="","",TEXT(INDEX($B$6:$Y$23,($AC$3-1-1)*$AC$4+AJ61+1,1*$AC$5+AI61+1),"#,##0")))</f>
        <v>850</v>
      </c>
      <c r="BC61" t="str">
        <f>IF(AH61=1,"",IF(INDEX($B$6:$Y$23,($AC$3-1-2)*$AC$4+AJ61+1,0*$AC$5+AI61+1)="","",TEXT(INDEX($B$6:$Y$23,($AC$3-1-2)*$AC$4+AJ61+1,0*$AC$5+AI61+1),"#,##0")))</f>
        <v>942</v>
      </c>
      <c r="BD61" t="str">
        <f>IF(AH61=1,"",IF(INDEX($B$6:$Y$23,($AC$3-1-2)*$AC$4+AJ61+1,1*$AC$5+AI61+1)="","",TEXT(INDEX($B$6:$Y$23,($AC$3-1-2)*$AC$4+AJ61+1,1*$AC$5+AI61+1),"#,##0")))</f>
        <v>914</v>
      </c>
      <c r="BE61" t="str">
        <f>IF(AH61=1,"",IF(INDEX($B$6:$Y$23,($AC$3-1-3)*$AC$4+AJ61+1,0*$AC$5+AI61+1)="","",TEXT(INDEX($B$6:$Y$23,($AC$3-1-3)*$AC$4+AJ61+1,0*$AC$5+AI61+1),"#,##0")))</f>
        <v>1,008</v>
      </c>
      <c r="BF61" t="str">
        <f>IF(AH61=1,"",IF(INDEX($B$6:$Y$23,($AC$3-1-3)*$AC$4+AJ61+1,1*$AC$5+AI61+1)="","",TEXT(INDEX($B$6:$Y$23,($AC$3-1-3)*$AC$4+AJ61+1,1*$AC$5+AI61+1),"#,##0")))</f>
        <v>978</v>
      </c>
      <c r="BG61" t="str">
        <f>IF(AH61=1,"",IF(INDEX($B$6:$Y$23,($AC$3-1-4)*$AC$4+AJ61+1,0*$AC$5+AI61+1)="","",TEXT(INDEX($B$6:$Y$23,($AC$3-1-4)*$AC$4+AJ61+1,0*$AC$5+AI61+1),"#,##0")))</f>
        <v>1,074</v>
      </c>
      <c r="BH61" t="str">
        <f>IF(AH61=1,"",IF(INDEX($B$6:$Y$23,($AC$3-1-4)*$AC$4+AJ61+1,1*$AC$5+AI61+1)="","",TEXT(INDEX($B$6:$Y$23,($AC$3-1-4)*$AC$4+AJ61+1,1*$AC$5+AI61+1),"#,##0")))</f>
        <v>1,042</v>
      </c>
      <c r="BI61" t="str">
        <f>IF(AH61=1,"",IF(INDEX($B$6:$Y$23,($AC$3-1-5)*$AC$4+AJ61+1,0*$AC$5+AI61+1)="","",TEXT(INDEX($B$6:$Y$23,($AC$3-1-5)*$AC$4+AJ61+1,0*$AC$5+AI61+1),"#,##0")))</f>
        <v>1,140</v>
      </c>
      <c r="BJ61" t="str">
        <f>IF(AH61=1,"",IF(INDEX($B$6:$Y$23,($AC$3-1-5)*$AC$4+AJ61+1,1*$AC$5+AI61+1)="","",TEXT(INDEX($B$6:$Y$23,($AC$3-1-5)*$AC$4+AJ61+1,1*$AC$5+AI61+1),"#,##0")))</f>
        <v>1,106</v>
      </c>
      <c r="BR61">
        <v>15.5</v>
      </c>
      <c r="BS61" t="e">
        <f>IF(OR($AC$17&gt;0,$AC$18&lt;0),NA(),4+$AC$20)</f>
        <v>#N/A</v>
      </c>
    </row>
    <row r="62" spans="28:71" x14ac:dyDescent="0.35">
      <c r="AB62">
        <v>39</v>
      </c>
      <c r="AC62">
        <f>AB62-$AC$12</f>
        <v>36</v>
      </c>
      <c r="AD62">
        <f>IF(AC62&lt;=0,-1,INT((AC62-1)/($AC$10+$AC$11)))</f>
        <v>2</v>
      </c>
      <c r="AE62">
        <f>IF(AC62&lt;=0,-1,MOD(AC62-1,($AC$10+$AC$11)))</f>
        <v>9</v>
      </c>
      <c r="AF62">
        <f>IF(OR(AE62&lt;0,AE62&gt;=$AC$10),-1,INT(AE62/$AC$9))</f>
        <v>9</v>
      </c>
      <c r="AG62">
        <f>IF(OR(AE62&lt;0,AE62&gt;=$AC$10),-1,MOD(AE62,$AC$9))</f>
        <v>0</v>
      </c>
      <c r="AH62">
        <f>IF(OR(AC62&lt;=0,AE62&lt;0,AE62&gt;=$AC$10,AD62&gt;=$AC$7),1,0)</f>
        <v>0</v>
      </c>
      <c r="AI62">
        <f>IF(AH62=1,-1,AF62)</f>
        <v>9</v>
      </c>
      <c r="AJ62">
        <f>IF(AH62=1,-1,AD62)</f>
        <v>2</v>
      </c>
      <c r="AK62" t="str">
        <f>IF(AH62=1,"",IF(AND(MOD(AI62,3)=0,AG62=INT(($AC$9-1)/2)),INDEX($B$5:$M$5,AI62+1),""))</f>
        <v>Oct</v>
      </c>
      <c r="AL62">
        <f>IF(AH62=1,NA(),IF(INDEX($B$6:$Y$23,($AC$3-1-0)*$AC$4+AJ62+1,0*$AC$5+AI62+1)="",NA(),0+(INDEX($B$6:$Y$23,($AC$3-1-0)*$AC$4+AJ62+1,0*$AC$5+AI62+1)-$AC$17)/$AC$19*$AC$13))</f>
        <v>0.48917555555555547</v>
      </c>
      <c r="AM62">
        <f>IF(AH62=1,NA(),IF(INDEX($B$6:$Y$23,($AC$3-1-0)*$AC$4+AJ62+1,1*$AC$5+AI62+1)="",NA(),0+(INDEX($B$6:$Y$23,($AC$3-1-0)*$AC$4+AJ62+1,1*$AC$5+AI62+1)-$AC$17)/$AC$19*$AC$13))</f>
        <v>0.43924666666666667</v>
      </c>
      <c r="AN62">
        <f>IF(AH62=1,NA(),IF(INDEX($B$6:$Y$23,($AC$3-1-1)*$AC$4+AJ62+1,0*$AC$5+AI62+1)="",NA(),1+(INDEX($B$6:$Y$23,($AC$3-1-1)*$AC$4+AJ62+1,0*$AC$5+AI62+1)-$AC$17)/$AC$19*$AC$13))</f>
        <v>1.5505844444444443</v>
      </c>
      <c r="AO62">
        <f>IF(AH62=1,NA(),IF(INDEX($B$6:$Y$23,($AC$3-1-1)*$AC$4+AJ62+1,1*$AC$5+AI62+1)="",NA(),1+(INDEX($B$6:$Y$23,($AC$3-1-1)*$AC$4+AJ62+1,1*$AC$5+AI62+1)-$AC$17)/$AC$19*$AC$13))</f>
        <v>1.4987422222222222</v>
      </c>
      <c r="AP62">
        <f>IF(AH62=1,NA(),IF(INDEX($B$6:$Y$23,($AC$3-1-2)*$AC$4+AJ62+1,0*$AC$5+AI62+1)="",NA(),2+(INDEX($B$6:$Y$23,($AC$3-1-2)*$AC$4+AJ62+1,0*$AC$5+AI62+1)-$AC$17)/$AC$19*$AC$13))</f>
        <v>2.6119022222222221</v>
      </c>
      <c r="AQ62">
        <f>IF(AH62=1,NA(),IF(INDEX($B$6:$Y$23,($AC$3-1-2)*$AC$4+AJ62+1,1*$AC$5+AI62+1)="",NA(),2+(INDEX($B$6:$Y$23,($AC$3-1-2)*$AC$4+AJ62+1,1*$AC$5+AI62+1)-$AC$17)/$AC$19*$AC$13))</f>
        <v>2.5583288888888891</v>
      </c>
      <c r="AR62">
        <f>IF(AH62=1,NA(),IF(INDEX($B$6:$Y$23,($AC$3-1-3)*$AC$4+AJ62+1,0*$AC$5+AI62+1)="",NA(),3+(INDEX($B$6:$Y$23,($AC$3-1-3)*$AC$4+AJ62+1,0*$AC$5+AI62+1)-$AC$17)/$AC$19*$AC$13))</f>
        <v>3.673311111111111</v>
      </c>
      <c r="AS62">
        <f>IF(AH62=1,NA(),IF(INDEX($B$6:$Y$23,($AC$3-1-3)*$AC$4+AJ62+1,1*$AC$5+AI62+1)="",NA(),3+(INDEX($B$6:$Y$23,($AC$3-1-3)*$AC$4+AJ62+1,1*$AC$5+AI62+1)-$AC$17)/$AC$19*$AC$13))</f>
        <v>3.6178244444444445</v>
      </c>
      <c r="AT62">
        <f>IF(AH62=1,NA(),IF(INDEX($B$6:$Y$23,($AC$3-1-4)*$AC$4+AJ62+1,0*$AC$5+AI62+1)="",NA(),4+(INDEX($B$6:$Y$23,($AC$3-1-4)*$AC$4+AJ62+1,0*$AC$5+AI62+1)-$AC$17)/$AC$19*$AC$13))</f>
        <v>4.7347200000000003</v>
      </c>
      <c r="AU62">
        <f>IF(AH62=1,NA(),IF(INDEX($B$6:$Y$23,($AC$3-1-4)*$AC$4+AJ62+1,1*$AC$5+AI62+1)="",NA(),4+(INDEX($B$6:$Y$23,($AC$3-1-4)*$AC$4+AJ62+1,1*$AC$5+AI62+1)-$AC$17)/$AC$19*$AC$13))</f>
        <v>4.6774111111111107</v>
      </c>
      <c r="AV62">
        <f>IF(AH62=1,NA(),IF(INDEX($B$6:$Y$23,($AC$3-1-5)*$AC$4+AJ62+1,0*$AC$5+AI62+1)="",NA(),5+(INDEX($B$6:$Y$23,($AC$3-1-5)*$AC$4+AJ62+1,0*$AC$5+AI62+1)-$AC$17)/$AC$19*$AC$13))</f>
        <v>5.7961288888888891</v>
      </c>
      <c r="AW62">
        <f>IF(AH62=1,NA(),IF(INDEX($B$6:$Y$23,($AC$3-1-5)*$AC$4+AJ62+1,1*$AC$5+AI62+1)="",NA(),5+(INDEX($B$6:$Y$23,($AC$3-1-5)*$AC$4+AJ62+1,1*$AC$5+AI62+1)-$AC$17)/$AC$19*$AC$13))</f>
        <v>5.7369066666666662</v>
      </c>
      <c r="AY62" t="str">
        <f>IF(AH62=1,"",IF(INDEX($B$6:$Y$23,($AC$3-1-0)*$AC$4+AJ62+1,0*$AC$5+AI62+1)="","",TEXT(INDEX($B$6:$Y$23,($AC$3-1-0)*$AC$4+AJ62+1,0*$AC$5+AI62+1),"#,##0")))</f>
        <v>887</v>
      </c>
      <c r="AZ62" t="str">
        <f>IF(AH62=1,"",IF(INDEX($B$6:$Y$23,($AC$3-1-0)*$AC$4+AJ62+1,1*$AC$5+AI62+1)="","",TEXT(INDEX($B$6:$Y$23,($AC$3-1-0)*$AC$4+AJ62+1,1*$AC$5+AI62+1),"#,##0")))</f>
        <v>832</v>
      </c>
      <c r="BA62" t="str">
        <f>IF(AH62=1,"",IF(INDEX($B$6:$Y$23,($AC$3-1-1)*$AC$4+AJ62+1,0*$AC$5+AI62+1)="","",TEXT(INDEX($B$6:$Y$23,($AC$3-1-1)*$AC$4+AJ62+1,0*$AC$5+AI62+1),"#,##0")))</f>
        <v>954</v>
      </c>
      <c r="BB62" t="str">
        <f>IF(AH62=1,"",IF(INDEX($B$6:$Y$23,($AC$3-1-1)*$AC$4+AJ62+1,1*$AC$5+AI62+1)="","",TEXT(INDEX($B$6:$Y$23,($AC$3-1-1)*$AC$4+AJ62+1,1*$AC$5+AI62+1),"#,##0")))</f>
        <v>897</v>
      </c>
      <c r="BC62" t="str">
        <f>IF(AH62=1,"",IF(INDEX($B$6:$Y$23,($AC$3-1-2)*$AC$4+AJ62+1,0*$AC$5+AI62+1)="","",TEXT(INDEX($B$6:$Y$23,($AC$3-1-2)*$AC$4+AJ62+1,0*$AC$5+AI62+1),"#,##0")))</f>
        <v>1,022</v>
      </c>
      <c r="BD62" t="str">
        <f>IF(AH62=1,"",IF(INDEX($B$6:$Y$23,($AC$3-1-2)*$AC$4+AJ62+1,1*$AC$5+AI62+1)="","",TEXT(INDEX($B$6:$Y$23,($AC$3-1-2)*$AC$4+AJ62+1,1*$AC$5+AI62+1),"#,##0")))</f>
        <v>963</v>
      </c>
      <c r="BE62" t="str">
        <f>IF(AH62=1,"",IF(INDEX($B$6:$Y$23,($AC$3-1-3)*$AC$4+AJ62+1,0*$AC$5+AI62+1)="","",TEXT(INDEX($B$6:$Y$23,($AC$3-1-3)*$AC$4+AJ62+1,0*$AC$5+AI62+1),"#,##0")))</f>
        <v>1,089</v>
      </c>
      <c r="BF62" t="str">
        <f>IF(AH62=1,"",IF(INDEX($B$6:$Y$23,($AC$3-1-3)*$AC$4+AJ62+1,1*$AC$5+AI62+1)="","",TEXT(INDEX($B$6:$Y$23,($AC$3-1-3)*$AC$4+AJ62+1,1*$AC$5+AI62+1),"#,##0")))</f>
        <v>1,028</v>
      </c>
      <c r="BG62" t="str">
        <f>IF(AH62=1,"",IF(INDEX($B$6:$Y$23,($AC$3-1-4)*$AC$4+AJ62+1,0*$AC$5+AI62+1)="","",TEXT(INDEX($B$6:$Y$23,($AC$3-1-4)*$AC$4+AJ62+1,0*$AC$5+AI62+1),"#,##0")))</f>
        <v>1,156</v>
      </c>
      <c r="BH62" t="str">
        <f>IF(AH62=1,"",IF(INDEX($B$6:$Y$23,($AC$3-1-4)*$AC$4+AJ62+1,1*$AC$5+AI62+1)="","",TEXT(INDEX($B$6:$Y$23,($AC$3-1-4)*$AC$4+AJ62+1,1*$AC$5+AI62+1),"#,##0")))</f>
        <v>1,094</v>
      </c>
      <c r="BI62" t="str">
        <f>IF(AH62=1,"",IF(INDEX($B$6:$Y$23,($AC$3-1-5)*$AC$4+AJ62+1,0*$AC$5+AI62+1)="","",TEXT(INDEX($B$6:$Y$23,($AC$3-1-5)*$AC$4+AJ62+1,0*$AC$5+AI62+1),"#,##0")))</f>
        <v>1,224</v>
      </c>
      <c r="BJ62" t="str">
        <f>IF(AH62=1,"",IF(INDEX($B$6:$Y$23,($AC$3-1-5)*$AC$4+AJ62+1,1*$AC$5+AI62+1)="","",TEXT(INDEX($B$6:$Y$23,($AC$3-1-5)*$AC$4+AJ62+1,1*$AC$5+AI62+1),"#,##0")))</f>
        <v>1,159</v>
      </c>
      <c r="BR62">
        <v>15.5</v>
      </c>
      <c r="BS62" t="e">
        <f>NA()</f>
        <v>#N/A</v>
      </c>
    </row>
    <row r="63" spans="28:71" x14ac:dyDescent="0.35">
      <c r="AB63">
        <v>40</v>
      </c>
      <c r="AC63">
        <f>AB63-$AC$12</f>
        <v>37</v>
      </c>
      <c r="AD63">
        <f>IF(AC63&lt;=0,-1,INT((AC63-1)/($AC$10+$AC$11)))</f>
        <v>2</v>
      </c>
      <c r="AE63">
        <f>IF(AC63&lt;=0,-1,MOD(AC63-1,($AC$10+$AC$11)))</f>
        <v>10</v>
      </c>
      <c r="AF63">
        <f>IF(OR(AE63&lt;0,AE63&gt;=$AC$10),-1,INT(AE63/$AC$9))</f>
        <v>10</v>
      </c>
      <c r="AG63">
        <f>IF(OR(AE63&lt;0,AE63&gt;=$AC$10),-1,MOD(AE63,$AC$9))</f>
        <v>0</v>
      </c>
      <c r="AH63">
        <f>IF(OR(AC63&lt;=0,AE63&lt;0,AE63&gt;=$AC$10,AD63&gt;=$AC$7),1,0)</f>
        <v>0</v>
      </c>
      <c r="AI63">
        <f>IF(AH63=1,-1,AF63)</f>
        <v>10</v>
      </c>
      <c r="AJ63">
        <f>IF(AH63=1,-1,AD63)</f>
        <v>2</v>
      </c>
      <c r="AK63" t="str">
        <f>IF(AH63=1,"",IF(AND(MOD(AI63,3)=0,AG63=INT(($AC$9-1)/2)),INDEX($B$5:$M$5,AI63+1),""))</f>
        <v/>
      </c>
      <c r="AL63">
        <f>IF(AH63=1,NA(),IF(INDEX($B$6:$Y$23,($AC$3-1-0)*$AC$4+AJ63+1,0*$AC$5+AI63+1)="",NA(),0+(INDEX($B$6:$Y$23,($AC$3-1-0)*$AC$4+AJ63+1,0*$AC$5+AI63+1)-$AC$17)/$AC$19*$AC$13))</f>
        <v>0.39523999999999992</v>
      </c>
      <c r="AM63">
        <f>IF(AH63=1,NA(),IF(INDEX($B$6:$Y$23,($AC$3-1-0)*$AC$4+AJ63+1,1*$AC$5+AI63+1)="",NA(),0+(INDEX($B$6:$Y$23,($AC$3-1-0)*$AC$4+AJ63+1,1*$AC$5+AI63+1)-$AC$17)/$AC$19*$AC$13))</f>
        <v>0.39943111111111107</v>
      </c>
      <c r="AN63">
        <f>IF(AH63=1,NA(),IF(INDEX($B$6:$Y$23,($AC$3-1-1)*$AC$4+AJ63+1,0*$AC$5+AI63+1)="",NA(),1+(INDEX($B$6:$Y$23,($AC$3-1-1)*$AC$4+AJ63+1,0*$AC$5+AI63+1)-$AC$17)/$AC$19*$AC$13))</f>
        <v>1.4578333333333333</v>
      </c>
      <c r="AO63">
        <f>IF(AH63=1,NA(),IF(INDEX($B$6:$Y$23,($AC$3-1-1)*$AC$4+AJ63+1,1*$AC$5+AI63+1)="",NA(),1+(INDEX($B$6:$Y$23,($AC$3-1-1)*$AC$4+AJ63+1,1*$AC$5+AI63+1)-$AC$17)/$AC$19*$AC$13))</f>
        <v>1.4602022222222222</v>
      </c>
      <c r="AP63">
        <f>IF(AH63=1,NA(),IF(INDEX($B$6:$Y$23,($AC$3-1-2)*$AC$4+AJ63+1,0*$AC$5+AI63+1)="",NA(),2+(INDEX($B$6:$Y$23,($AC$3-1-2)*$AC$4+AJ63+1,0*$AC$5+AI63+1)-$AC$17)/$AC$19*$AC$13))</f>
        <v>2.5204266666666668</v>
      </c>
      <c r="AQ63">
        <f>IF(AH63=1,NA(),IF(INDEX($B$6:$Y$23,($AC$3-1-2)*$AC$4+AJ63+1,1*$AC$5+AI63+1)="",NA(),2+(INDEX($B$6:$Y$23,($AC$3-1-2)*$AC$4+AJ63+1,1*$AC$5+AI63+1)-$AC$17)/$AC$19*$AC$13))</f>
        <v>2.5209733333333331</v>
      </c>
      <c r="AR63">
        <f>IF(AH63=1,NA(),IF(INDEX($B$6:$Y$23,($AC$3-1-3)*$AC$4+AJ63+1,0*$AC$5+AI63+1)="",NA(),3+(INDEX($B$6:$Y$23,($AC$3-1-3)*$AC$4+AJ63+1,0*$AC$5+AI63+1)-$AC$17)/$AC$19*$AC$13))</f>
        <v>3.5831111111111111</v>
      </c>
      <c r="AS63">
        <f>IF(AH63=1,NA(),IF(INDEX($B$6:$Y$23,($AC$3-1-3)*$AC$4+AJ63+1,1*$AC$5+AI63+1)="",NA(),3+(INDEX($B$6:$Y$23,($AC$3-1-3)*$AC$4+AJ63+1,1*$AC$5+AI63+1)-$AC$17)/$AC$19*$AC$13))</f>
        <v>3.5817444444444444</v>
      </c>
      <c r="AT63">
        <f>IF(AH63=1,NA(),IF(INDEX($B$6:$Y$23,($AC$3-1-4)*$AC$4+AJ63+1,0*$AC$5+AI63+1)="",NA(),4+(INDEX($B$6:$Y$23,($AC$3-1-4)*$AC$4+AJ63+1,0*$AC$5+AI63+1)-$AC$17)/$AC$19*$AC$13))</f>
        <v>4.645795555555555</v>
      </c>
      <c r="AU63">
        <f>IF(AH63=1,NA(),IF(INDEX($B$6:$Y$23,($AC$3-1-4)*$AC$4+AJ63+1,1*$AC$5+AI63+1)="",NA(),4+(INDEX($B$6:$Y$23,($AC$3-1-4)*$AC$4+AJ63+1,1*$AC$5+AI63+1)-$AC$17)/$AC$19*$AC$13))</f>
        <v>4.6425155555555557</v>
      </c>
      <c r="AV63">
        <f>IF(AH63=1,NA(),IF(INDEX($B$6:$Y$23,($AC$3-1-5)*$AC$4+AJ63+1,0*$AC$5+AI63+1)="",NA(),5+(INDEX($B$6:$Y$23,($AC$3-1-5)*$AC$4+AJ63+1,0*$AC$5+AI63+1)-$AC$17)/$AC$19*$AC$13))</f>
        <v>5.708388888888889</v>
      </c>
      <c r="AW63">
        <f>IF(AH63=1,NA(),IF(INDEX($B$6:$Y$23,($AC$3-1-5)*$AC$4+AJ63+1,1*$AC$5+AI63+1)="",NA(),5+(INDEX($B$6:$Y$23,($AC$3-1-5)*$AC$4+AJ63+1,1*$AC$5+AI63+1)-$AC$17)/$AC$19*$AC$13))</f>
        <v>5.7032866666666671</v>
      </c>
      <c r="AY63" t="str">
        <f>IF(AH63=1,"",IF(INDEX($B$6:$Y$23,($AC$3-1-0)*$AC$4+AJ63+1,0*$AC$5+AI63+1)="","",TEXT(INDEX($B$6:$Y$23,($AC$3-1-0)*$AC$4+AJ63+1,0*$AC$5+AI63+1),"#,##0")))</f>
        <v>784</v>
      </c>
      <c r="AZ63" t="str">
        <f>IF(AH63=1,"",IF(INDEX($B$6:$Y$23,($AC$3-1-0)*$AC$4+AJ63+1,1*$AC$5+AI63+1)="","",TEXT(INDEX($B$6:$Y$23,($AC$3-1-0)*$AC$4+AJ63+1,1*$AC$5+AI63+1),"#,##0")))</f>
        <v>788</v>
      </c>
      <c r="BA63" t="str">
        <f>IF(AH63=1,"",IF(INDEX($B$6:$Y$23,($AC$3-1-1)*$AC$4+AJ63+1,0*$AC$5+AI63+1)="","",TEXT(INDEX($B$6:$Y$23,($AC$3-1-1)*$AC$4+AJ63+1,0*$AC$5+AI63+1),"#,##0")))</f>
        <v>853</v>
      </c>
      <c r="BB63" t="str">
        <f>IF(AH63=1,"",IF(INDEX($B$6:$Y$23,($AC$3-1-1)*$AC$4+AJ63+1,1*$AC$5+AI63+1)="","",TEXT(INDEX($B$6:$Y$23,($AC$3-1-1)*$AC$4+AJ63+1,1*$AC$5+AI63+1),"#,##0")))</f>
        <v>855</v>
      </c>
      <c r="BC63" t="str">
        <f>IF(AH63=1,"",IF(INDEX($B$6:$Y$23,($AC$3-1-2)*$AC$4+AJ63+1,0*$AC$5+AI63+1)="","",TEXT(INDEX($B$6:$Y$23,($AC$3-1-2)*$AC$4+AJ63+1,0*$AC$5+AI63+1),"#,##0")))</f>
        <v>921</v>
      </c>
      <c r="BD63" t="str">
        <f>IF(AH63=1,"",IF(INDEX($B$6:$Y$23,($AC$3-1-2)*$AC$4+AJ63+1,1*$AC$5+AI63+1)="","",TEXT(INDEX($B$6:$Y$23,($AC$3-1-2)*$AC$4+AJ63+1,1*$AC$5+AI63+1),"#,##0")))</f>
        <v>922</v>
      </c>
      <c r="BE63" t="str">
        <f>IF(AH63=1,"",IF(INDEX($B$6:$Y$23,($AC$3-1-3)*$AC$4+AJ63+1,0*$AC$5+AI63+1)="","",TEXT(INDEX($B$6:$Y$23,($AC$3-1-3)*$AC$4+AJ63+1,0*$AC$5+AI63+1),"#,##0")))</f>
        <v>990</v>
      </c>
      <c r="BF63" t="str">
        <f>IF(AH63=1,"",IF(INDEX($B$6:$Y$23,($AC$3-1-3)*$AC$4+AJ63+1,1*$AC$5+AI63+1)="","",TEXT(INDEX($B$6:$Y$23,($AC$3-1-3)*$AC$4+AJ63+1,1*$AC$5+AI63+1),"#,##0")))</f>
        <v>989</v>
      </c>
      <c r="BG63" t="str">
        <f>IF(AH63=1,"",IF(INDEX($B$6:$Y$23,($AC$3-1-4)*$AC$4+AJ63+1,0*$AC$5+AI63+1)="","",TEXT(INDEX($B$6:$Y$23,($AC$3-1-4)*$AC$4+AJ63+1,0*$AC$5+AI63+1),"#,##0")))</f>
        <v>1,059</v>
      </c>
      <c r="BH63" t="str">
        <f>IF(AH63=1,"",IF(INDEX($B$6:$Y$23,($AC$3-1-4)*$AC$4+AJ63+1,1*$AC$5+AI63+1)="","",TEXT(INDEX($B$6:$Y$23,($AC$3-1-4)*$AC$4+AJ63+1,1*$AC$5+AI63+1),"#,##0")))</f>
        <v>1,055</v>
      </c>
      <c r="BI63" t="str">
        <f>IF(AH63=1,"",IF(INDEX($B$6:$Y$23,($AC$3-1-5)*$AC$4+AJ63+1,0*$AC$5+AI63+1)="","",TEXT(INDEX($B$6:$Y$23,($AC$3-1-5)*$AC$4+AJ63+1,0*$AC$5+AI63+1),"#,##0")))</f>
        <v>1,128</v>
      </c>
      <c r="BJ63" t="str">
        <f>IF(AH63=1,"",IF(INDEX($B$6:$Y$23,($AC$3-1-5)*$AC$4+AJ63+1,1*$AC$5+AI63+1)="","",TEXT(INDEX($B$6:$Y$23,($AC$3-1-5)*$AC$4+AJ63+1,1*$AC$5+AI63+1),"#,##0")))</f>
        <v>1,122</v>
      </c>
      <c r="BR63">
        <v>16.5</v>
      </c>
      <c r="BS63" t="e">
        <f>IF(OR($AC$17&gt;0,$AC$18&lt;0),NA(),4+$AC$20)</f>
        <v>#N/A</v>
      </c>
    </row>
    <row r="64" spans="28:71" x14ac:dyDescent="0.35">
      <c r="AB64">
        <v>41</v>
      </c>
      <c r="AC64">
        <f>AB64-$AC$12</f>
        <v>38</v>
      </c>
      <c r="AD64">
        <f>IF(AC64&lt;=0,-1,INT((AC64-1)/($AC$10+$AC$11)))</f>
        <v>2</v>
      </c>
      <c r="AE64">
        <f>IF(AC64&lt;=0,-1,MOD(AC64-1,($AC$10+$AC$11)))</f>
        <v>11</v>
      </c>
      <c r="AF64">
        <f>IF(OR(AE64&lt;0,AE64&gt;=$AC$10),-1,INT(AE64/$AC$9))</f>
        <v>11</v>
      </c>
      <c r="AG64">
        <f>IF(OR(AE64&lt;0,AE64&gt;=$AC$10),-1,MOD(AE64,$AC$9))</f>
        <v>0</v>
      </c>
      <c r="AH64">
        <f>IF(OR(AC64&lt;=0,AE64&lt;0,AE64&gt;=$AC$10,AD64&gt;=$AC$7),1,0)</f>
        <v>0</v>
      </c>
      <c r="AI64">
        <f>IF(AH64=1,-1,AF64)</f>
        <v>11</v>
      </c>
      <c r="AJ64">
        <f>IF(AH64=1,-1,AD64)</f>
        <v>2</v>
      </c>
      <c r="AK64" t="str">
        <f>IF(AH64=1,"",IF(AND(MOD(AI64,3)=0,AG64=INT(($AC$9-1)/2)),INDEX($B$5:$M$5,AI64+1),""))</f>
        <v/>
      </c>
      <c r="AL64">
        <f>IF(AH64=1,NA(),IF(INDEX($B$6:$Y$23,($AC$3-1-0)*$AC$4+AJ64+1,0*$AC$5+AI64+1)="",NA(),0+(INDEX($B$6:$Y$23,($AC$3-1-0)*$AC$4+AJ64+1,0*$AC$5+AI64+1)-$AC$17)/$AC$19*$AC$13))</f>
        <v>0.46521333333333331</v>
      </c>
      <c r="AM64">
        <f>IF(AH64=1,NA(),IF(INDEX($B$6:$Y$23,($AC$3-1-0)*$AC$4+AJ64+1,1*$AC$5+AI64+1)="",NA(),0+(INDEX($B$6:$Y$23,($AC$3-1-0)*$AC$4+AJ64+1,1*$AC$5+AI64+1)-$AC$17)/$AC$19*$AC$13))</f>
        <v>0.44170666666666658</v>
      </c>
      <c r="AN64">
        <f>IF(AH64=1,NA(),IF(INDEX($B$6:$Y$23,($AC$3-1-1)*$AC$4+AJ64+1,0*$AC$5+AI64+1)="",NA(),1+(INDEX($B$6:$Y$23,($AC$3-1-1)*$AC$4+AJ64+1,0*$AC$5+AI64+1)-$AC$17)/$AC$19*$AC$13))</f>
        <v>1.5290822222222222</v>
      </c>
      <c r="AO64">
        <f>IF(AH64=1,NA(),IF(INDEX($B$6:$Y$23,($AC$3-1-1)*$AC$4+AJ64+1,1*$AC$5+AI64+1)="",NA(),1+(INDEX($B$6:$Y$23,($AC$3-1-1)*$AC$4+AJ64+1,1*$AC$5+AI64+1)-$AC$17)/$AC$19*$AC$13))</f>
        <v>1.5036622222222222</v>
      </c>
      <c r="AP64">
        <f>IF(AH64=1,NA(),IF(INDEX($B$6:$Y$23,($AC$3-1-2)*$AC$4+AJ64+1,0*$AC$5+AI64+1)="",NA(),2+(INDEX($B$6:$Y$23,($AC$3-1-2)*$AC$4+AJ64+1,0*$AC$5+AI64+1)-$AC$17)/$AC$19*$AC$13))</f>
        <v>2.593042222222222</v>
      </c>
      <c r="AQ64">
        <f>IF(AH64=1,NA(),IF(INDEX($B$6:$Y$23,($AC$3-1-2)*$AC$4+AJ64+1,1*$AC$5+AI64+1)="",NA(),2+(INDEX($B$6:$Y$23,($AC$3-1-2)*$AC$4+AJ64+1,1*$AC$5+AI64+1)-$AC$17)/$AC$19*$AC$13))</f>
        <v>2.5656177777777778</v>
      </c>
      <c r="AR64">
        <f>IF(AH64=1,NA(),IF(INDEX($B$6:$Y$23,($AC$3-1-3)*$AC$4+AJ64+1,0*$AC$5+AI64+1)="",NA(),3+(INDEX($B$6:$Y$23,($AC$3-1-3)*$AC$4+AJ64+1,0*$AC$5+AI64+1)-$AC$17)/$AC$19*$AC$13))</f>
        <v>3.656911111111111</v>
      </c>
      <c r="AS64">
        <f>IF(AH64=1,NA(),IF(INDEX($B$6:$Y$23,($AC$3-1-3)*$AC$4+AJ64+1,1*$AC$5+AI64+1)="",NA(),3+(INDEX($B$6:$Y$23,($AC$3-1-3)*$AC$4+AJ64+1,1*$AC$5+AI64+1)-$AC$17)/$AC$19*$AC$13))</f>
        <v>3.6276644444444446</v>
      </c>
      <c r="AT64">
        <f>IF(AH64=1,NA(),IF(INDEX($B$6:$Y$23,($AC$3-1-4)*$AC$4+AJ64+1,0*$AC$5+AI64+1)="",NA(),4+(INDEX($B$6:$Y$23,($AC$3-1-4)*$AC$4+AJ64+1,0*$AC$5+AI64+1)-$AC$17)/$AC$19*$AC$13))</f>
        <v>4.7207799999999995</v>
      </c>
      <c r="AU64">
        <f>IF(AH64=1,NA(),IF(INDEX($B$6:$Y$23,($AC$3-1-4)*$AC$4+AJ64+1,1*$AC$5+AI64+1)="",NA(),4+(INDEX($B$6:$Y$23,($AC$3-1-4)*$AC$4+AJ64+1,1*$AC$5+AI64+1)-$AC$17)/$AC$19*$AC$13))</f>
        <v>4.6896199999999997</v>
      </c>
      <c r="AV64">
        <f>IF(AH64=1,NA(),IF(INDEX($B$6:$Y$23,($AC$3-1-5)*$AC$4+AJ64+1,0*$AC$5+AI64+1)="",NA(),5+(INDEX($B$6:$Y$23,($AC$3-1-5)*$AC$4+AJ64+1,0*$AC$5+AI64+1)-$AC$17)/$AC$19*$AC$13))</f>
        <v>5.7846488888888885</v>
      </c>
      <c r="AW64">
        <f>IF(AH64=1,NA(),IF(INDEX($B$6:$Y$23,($AC$3-1-5)*$AC$4+AJ64+1,1*$AC$5+AI64+1)="",NA(),5+(INDEX($B$6:$Y$23,($AC$3-1-5)*$AC$4+AJ64+1,1*$AC$5+AI64+1)-$AC$17)/$AC$19*$AC$13))</f>
        <v>5.7515755555555561</v>
      </c>
      <c r="AY64" t="str">
        <f>IF(AH64=1,"",IF(INDEX($B$6:$Y$23,($AC$3-1-0)*$AC$4+AJ64+1,0*$AC$5+AI64+1)="","",TEXT(INDEX($B$6:$Y$23,($AC$3-1-0)*$AC$4+AJ64+1,0*$AC$5+AI64+1),"#,##0")))</f>
        <v>861</v>
      </c>
      <c r="AZ64" t="str">
        <f>IF(AH64=1,"",IF(INDEX($B$6:$Y$23,($AC$3-1-0)*$AC$4+AJ64+1,1*$AC$5+AI64+1)="","",TEXT(INDEX($B$6:$Y$23,($AC$3-1-0)*$AC$4+AJ64+1,1*$AC$5+AI64+1),"#,##0")))</f>
        <v>835</v>
      </c>
      <c r="BA64" t="str">
        <f>IF(AH64=1,"",IF(INDEX($B$6:$Y$23,($AC$3-1-1)*$AC$4+AJ64+1,0*$AC$5+AI64+1)="","",TEXT(INDEX($B$6:$Y$23,($AC$3-1-1)*$AC$4+AJ64+1,0*$AC$5+AI64+1),"#,##0")))</f>
        <v>931</v>
      </c>
      <c r="BB64" t="str">
        <f>IF(AH64=1,"",IF(INDEX($B$6:$Y$23,($AC$3-1-1)*$AC$4+AJ64+1,1*$AC$5+AI64+1)="","",TEXT(INDEX($B$6:$Y$23,($AC$3-1-1)*$AC$4+AJ64+1,1*$AC$5+AI64+1),"#,##0")))</f>
        <v>903</v>
      </c>
      <c r="BC64" t="str">
        <f>IF(AH64=1,"",IF(INDEX($B$6:$Y$23,($AC$3-1-2)*$AC$4+AJ64+1,0*$AC$5+AI64+1)="","",TEXT(INDEX($B$6:$Y$23,($AC$3-1-2)*$AC$4+AJ64+1,0*$AC$5+AI64+1),"#,##0")))</f>
        <v>1,001</v>
      </c>
      <c r="BD64" t="str">
        <f>IF(AH64=1,"",IF(INDEX($B$6:$Y$23,($AC$3-1-2)*$AC$4+AJ64+1,1*$AC$5+AI64+1)="","",TEXT(INDEX($B$6:$Y$23,($AC$3-1-2)*$AC$4+AJ64+1,1*$AC$5+AI64+1),"#,##0")))</f>
        <v>971</v>
      </c>
      <c r="BE64" t="str">
        <f>IF(AH64=1,"",IF(INDEX($B$6:$Y$23,($AC$3-1-3)*$AC$4+AJ64+1,0*$AC$5+AI64+1)="","",TEXT(INDEX($B$6:$Y$23,($AC$3-1-3)*$AC$4+AJ64+1,0*$AC$5+AI64+1),"#,##0")))</f>
        <v>1,071</v>
      </c>
      <c r="BF64" t="str">
        <f>IF(AH64=1,"",IF(INDEX($B$6:$Y$23,($AC$3-1-3)*$AC$4+AJ64+1,1*$AC$5+AI64+1)="","",TEXT(INDEX($B$6:$Y$23,($AC$3-1-3)*$AC$4+AJ64+1,1*$AC$5+AI64+1),"#,##0")))</f>
        <v>1,039</v>
      </c>
      <c r="BG64" t="str">
        <f>IF(AH64=1,"",IF(INDEX($B$6:$Y$23,($AC$3-1-4)*$AC$4+AJ64+1,0*$AC$5+AI64+1)="","",TEXT(INDEX($B$6:$Y$23,($AC$3-1-4)*$AC$4+AJ64+1,0*$AC$5+AI64+1),"#,##0")))</f>
        <v>1,141</v>
      </c>
      <c r="BH64" t="str">
        <f>IF(AH64=1,"",IF(INDEX($B$6:$Y$23,($AC$3-1-4)*$AC$4+AJ64+1,1*$AC$5+AI64+1)="","",TEXT(INDEX($B$6:$Y$23,($AC$3-1-4)*$AC$4+AJ64+1,1*$AC$5+AI64+1),"#,##0")))</f>
        <v>1,107</v>
      </c>
      <c r="BI64" t="str">
        <f>IF(AH64=1,"",IF(INDEX($B$6:$Y$23,($AC$3-1-5)*$AC$4+AJ64+1,0*$AC$5+AI64+1)="","",TEXT(INDEX($B$6:$Y$23,($AC$3-1-5)*$AC$4+AJ64+1,0*$AC$5+AI64+1),"#,##0")))</f>
        <v>1,211</v>
      </c>
      <c r="BJ64" t="str">
        <f>IF(AH64=1,"",IF(INDEX($B$6:$Y$23,($AC$3-1-5)*$AC$4+AJ64+1,1*$AC$5+AI64+1)="","",TEXT(INDEX($B$6:$Y$23,($AC$3-1-5)*$AC$4+AJ64+1,1*$AC$5+AI64+1),"#,##0")))</f>
        <v>1,175</v>
      </c>
      <c r="BR64">
        <v>28.5</v>
      </c>
      <c r="BS64" t="e">
        <f>IF(OR($AC$17&gt;0,$AC$18&lt;0),NA(),4+$AC$20)</f>
        <v>#N/A</v>
      </c>
    </row>
    <row r="65" spans="70:71" x14ac:dyDescent="0.35">
      <c r="BR65">
        <v>28.5</v>
      </c>
      <c r="BS65" t="e">
        <f>NA()</f>
        <v>#N/A</v>
      </c>
    </row>
    <row r="66" spans="70:71" x14ac:dyDescent="0.35">
      <c r="BR66">
        <v>29.5</v>
      </c>
      <c r="BS66" t="e">
        <f>IF(OR($AC$17&gt;0,$AC$18&lt;0),NA(),4+$AC$20)</f>
        <v>#N/A</v>
      </c>
    </row>
    <row r="67" spans="70:71" x14ac:dyDescent="0.35">
      <c r="BR67">
        <v>41.5</v>
      </c>
      <c r="BS67" t="e">
        <f>IF(OR($AC$17&gt;0,$AC$18&lt;0),NA(),4+$AC$20)</f>
        <v>#N/A</v>
      </c>
    </row>
    <row r="68" spans="70:71" x14ac:dyDescent="0.35">
      <c r="BR68">
        <v>41.5</v>
      </c>
      <c r="BS68" t="e">
        <f>NA()</f>
        <v>#N/A</v>
      </c>
    </row>
    <row r="69" spans="70:71" x14ac:dyDescent="0.35">
      <c r="BR69">
        <v>3.5</v>
      </c>
      <c r="BS69" t="e">
        <f>IF(OR($AC$17&gt;0,$AC$18&lt;0),NA(),5+$AC$20)</f>
        <v>#N/A</v>
      </c>
    </row>
    <row r="70" spans="70:71" x14ac:dyDescent="0.35">
      <c r="BR70">
        <v>15.5</v>
      </c>
      <c r="BS70" t="e">
        <f>IF(OR($AC$17&gt;0,$AC$18&lt;0),NA(),5+$AC$20)</f>
        <v>#N/A</v>
      </c>
    </row>
    <row r="71" spans="70:71" x14ac:dyDescent="0.35">
      <c r="BR71">
        <v>15.5</v>
      </c>
      <c r="BS71" t="e">
        <f>NA()</f>
        <v>#N/A</v>
      </c>
    </row>
    <row r="72" spans="70:71" x14ac:dyDescent="0.35">
      <c r="BR72">
        <v>16.5</v>
      </c>
      <c r="BS72" t="e">
        <f>IF(OR($AC$17&gt;0,$AC$18&lt;0),NA(),5+$AC$20)</f>
        <v>#N/A</v>
      </c>
    </row>
    <row r="73" spans="70:71" x14ac:dyDescent="0.35">
      <c r="BR73">
        <v>28.5</v>
      </c>
      <c r="BS73" t="e">
        <f>IF(OR($AC$17&gt;0,$AC$18&lt;0),NA(),5+$AC$20)</f>
        <v>#N/A</v>
      </c>
    </row>
    <row r="74" spans="70:71" x14ac:dyDescent="0.35">
      <c r="BR74">
        <v>28.5</v>
      </c>
      <c r="BS74" t="e">
        <f>NA()</f>
        <v>#N/A</v>
      </c>
    </row>
    <row r="75" spans="70:71" x14ac:dyDescent="0.35">
      <c r="BR75">
        <v>29.5</v>
      </c>
      <c r="BS75" t="e">
        <f>IF(OR($AC$17&gt;0,$AC$18&lt;0),NA(),5+$AC$20)</f>
        <v>#N/A</v>
      </c>
    </row>
    <row r="76" spans="70:71" x14ac:dyDescent="0.35">
      <c r="BR76">
        <v>41.5</v>
      </c>
      <c r="BS76" t="e">
        <f>IF(OR($AC$17&gt;0,$AC$18&lt;0),NA(),5+$AC$20)</f>
        <v>#N/A</v>
      </c>
    </row>
    <row r="77" spans="70:71" x14ac:dyDescent="0.35">
      <c r="BR77">
        <v>41.5</v>
      </c>
      <c r="BS77" t="e">
        <f>NA()</f>
        <v>#N/A</v>
      </c>
    </row>
  </sheetData>
  <mergeCells count="2">
    <mergeCell ref="B4:M4"/>
    <mergeCell ref="N4:Y4"/>
  </mergeCells>
  <printOptions horizontalCentered="1" verticalCentered="1"/>
  <pageMargins left="0.25" right="0.25" top="0.25" bottom="0.25" header="0.125" footer="0.125"/>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Line</vt:lpstr>
      <vt:lpstr>Column</vt:lpstr>
      <vt:lpstr>Area</vt:lpstr>
      <vt:lpstr>Bar</vt:lpstr>
      <vt:lpstr>Pin</vt:lpstr>
      <vt:lpstr>Dot</vt:lpstr>
      <vt:lpstr>Area!Print_Area</vt:lpstr>
      <vt:lpstr>Bar!Print_Area</vt:lpstr>
      <vt:lpstr>Column!Print_Area</vt:lpstr>
      <vt:lpstr>Dot!Print_Area</vt:lpstr>
      <vt:lpstr>Line!Print_Area</vt:lpstr>
      <vt:lpstr>Pin!Print_Area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Wayne Phillips</dc:creator>
  <cp:lastModifiedBy>Wayne Phillips</cp:lastModifiedBy>
  <dcterms:created xsi:type="dcterms:W3CDTF">2026-08-19T07:12:10Z</dcterms:created>
  <dcterms:modified xsi:type="dcterms:W3CDTF">2026-08-19T07:12:43Z</dcterms:modified>
</cp:coreProperties>
</file>